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5" tabRatio="927" activeTab="0"/>
  </bookViews>
  <sheets>
    <sheet name="SUMMARY for the Month" sheetId="1" r:id="rId1"/>
    <sheet name="Unutilised grants" sheetId="2" r:id="rId2"/>
    <sheet name="Consumer deposits" sheetId="3" r:id="rId3"/>
    <sheet name="Unidentified" sheetId="4" r:id="rId4"/>
    <sheet name="Eff from Nov 2016" sheetId="5" r:id="rId5"/>
    <sheet name="EFF Summary Nov 2012 till" sheetId="6" r:id="rId6"/>
    <sheet name="Self insurance 201617" sheetId="7" r:id="rId7"/>
    <sheet name="Self insurrance from 2011" sheetId="8" r:id="rId8"/>
    <sheet name="Brandwacht Trust" sheetId="9" r:id="rId9"/>
    <sheet name="Cappital Replacement" sheetId="10" r:id="rId10"/>
    <sheet name="Performance bonus" sheetId="11" r:id="rId11"/>
    <sheet name="Asset Financing Reserve" sheetId="12" r:id="rId12"/>
    <sheet name="Sheet2" sheetId="13" state="hidden" r:id="rId13"/>
    <sheet name="Bank AND cash" sheetId="14" state="hidden" r:id="rId14"/>
    <sheet name="hOUSING dEVELOPMENT fUND BERDIN" sheetId="15" r:id="rId15"/>
    <sheet name="HOUSING DEVELOPMENT FUND SROETS" sheetId="16" state="hidden" r:id="rId16"/>
    <sheet name="Sheet1" sheetId="17" r:id="rId17"/>
    <sheet name="Investments" sheetId="18" r:id="rId18"/>
  </sheets>
  <definedNames>
    <definedName name="_xlnm.Print_Area" localSheetId="0">'SUMMARY for the Month'!$A$1:$DI$43</definedName>
    <definedName name="_xlnm.Print_Area" localSheetId="1">'Unutilised grants'!#REF!</definedName>
    <definedName name="_xlnm.Print_Titles" localSheetId="9">'Cappital Replacement'!$A:$B</definedName>
    <definedName name="_xlnm.Print_Titles" localSheetId="14">'hOUSING dEVELOPMENT fUND BERDIN'!$A:$I</definedName>
    <definedName name="_xlnm.Print_Titles" localSheetId="0">'SUMMARY for the Month'!$A:$A,'SUMMARY for the Month'!$1:$4</definedName>
  </definedNames>
  <calcPr fullCalcOnLoad="1"/>
</workbook>
</file>

<file path=xl/comments1.xml><?xml version="1.0" encoding="utf-8"?>
<comments xmlns="http://schemas.openxmlformats.org/spreadsheetml/2006/main">
  <authors>
    <author>berdinevolschenk</author>
    <author>berdine</author>
    <author>Berdine Volschenk</author>
  </authors>
  <commentList>
    <comment ref="B10" authorId="0">
      <text>
        <r>
          <rPr>
            <b/>
            <sz val="9"/>
            <rFont val="Tahoma"/>
            <family val="2"/>
          </rPr>
          <t>berdinevolschenk:</t>
        </r>
        <r>
          <rPr>
            <sz val="9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B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14 959 340* 20% =    R2 991 868
</t>
        </r>
      </text>
    </comment>
    <comment ref="D10" authorId="0">
      <text>
        <r>
          <rPr>
            <b/>
            <sz val="9"/>
            <rFont val="Tahoma"/>
            <family val="2"/>
          </rPr>
          <t>berdinevolschenk:</t>
        </r>
        <r>
          <rPr>
            <sz val="9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D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14 993 839* 20% =    R2 998 768
</t>
        </r>
      </text>
    </comment>
    <comment ref="F10" authorId="0">
      <text>
        <r>
          <rPr>
            <b/>
            <sz val="9"/>
            <rFont val="Tahoma"/>
            <family val="2"/>
          </rPr>
          <t>berdinevolschenk:</t>
        </r>
        <r>
          <rPr>
            <sz val="9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F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14 993 839* 20% =    R2 998 768
</t>
        </r>
      </text>
    </comment>
    <comment ref="H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14 993 839* 20% =    R2 998 768
</t>
        </r>
      </text>
    </comment>
    <comment ref="H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J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J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14 993 839* 20% =    R2 998 768
</t>
        </r>
      </text>
    </comment>
    <comment ref="L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L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14 993 839* 20% =    R2 998 768
</t>
        </r>
      </text>
    </comment>
    <comment ref="N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N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14 993 839* 20% =    R2 998 768
</t>
        </r>
      </text>
    </comment>
    <comment ref="P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P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14 993 839* 20% =    R2 998 768
</t>
        </r>
      </text>
    </comment>
    <comment ref="R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R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14 993 839* 20% =    R2 998 768
</t>
        </r>
      </text>
    </comment>
    <comment ref="T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T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14 993 839* 20% =    R2 998 768
</t>
        </r>
      </text>
    </comment>
    <comment ref="V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V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14 993 839* 20% =    R2 998 768
</t>
        </r>
      </text>
    </comment>
    <comment ref="X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X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14 993 839* 20% =    R2 998 768
</t>
        </r>
      </text>
    </comment>
    <comment ref="Y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Y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A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A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Z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Z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16 932 404* 20% =    R3 386 480.80
</t>
        </r>
      </text>
    </comment>
    <comment ref="AC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C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B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B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AE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E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D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D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AG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G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F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F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AI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I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H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H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AK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K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J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J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AM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M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L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L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AO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O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N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N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AQ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Q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P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P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AS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S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R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R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AU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U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T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T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AW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W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V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V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AY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AY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X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X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A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A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AZ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AZ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C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C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B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BB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E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E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D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BD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G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G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F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BF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I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I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H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BH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K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K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J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BJ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M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M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L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BL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O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O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N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BN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Q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Q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P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BP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S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S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R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BR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U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U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T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BT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W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W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V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14 500 000 /6 = R2 416 700.</t>
        </r>
      </text>
    </comment>
    <comment ref="BV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BY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BY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X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BX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16387152.42* 20% =    R3 277 430.48
</t>
        </r>
      </text>
    </comment>
    <comment ref="CA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A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BZ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BZ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C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C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B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B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E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E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D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D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G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G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F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F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I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I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H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H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K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K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J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J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M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M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L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L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O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O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N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N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Q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Q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P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P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S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S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R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R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U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U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T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T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W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W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V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V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CY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CY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X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X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DA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DA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CZ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CZ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DC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DC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DB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DB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DE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DE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DD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DD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DG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DG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DF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DF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  <comment ref="DI8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Portion included in the Current liabilities.</t>
        </r>
      </text>
    </comment>
    <comment ref="DI9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Recon portion between actual loan amount still not spend less amount in current liabiiteis</t>
        </r>
      </text>
    </comment>
    <comment ref="DH10" authorId="2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Provision if for 6 months - R 12 638 730 /6 = R2 106 455.</t>
        </r>
      </text>
    </comment>
    <comment ref="DH18" authorId="1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R 19 681 710* 20% =    R3 936 342.00
</t>
        </r>
      </text>
    </comment>
  </commentList>
</comments>
</file>

<file path=xl/comments10.xml><?xml version="1.0" encoding="utf-8"?>
<comments xmlns="http://schemas.openxmlformats.org/spreadsheetml/2006/main">
  <authors>
    <author>Berdine Volschenk</author>
  </authors>
  <commentList>
    <comment ref="EF382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386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390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394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398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402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406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410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414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418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422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426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  <comment ref="EF430" authorId="0">
      <text>
        <r>
          <rPr>
            <b/>
            <sz val="9"/>
            <rFont val="Tahoma"/>
            <family val="2"/>
          </rPr>
          <t>Berdine Volschenk:</t>
        </r>
        <r>
          <rPr>
            <sz val="9"/>
            <rFont val="Tahoma"/>
            <family val="2"/>
          </rPr>
          <t xml:space="preserve">
This building erf 4405 was paid on June 2018 - but capitliased in 1819 year. </t>
        </r>
      </text>
    </comment>
  </commentList>
</comments>
</file>

<file path=xl/comments5.xml><?xml version="1.0" encoding="utf-8"?>
<comments xmlns="http://schemas.openxmlformats.org/spreadsheetml/2006/main">
  <authors>
    <author>berdine</author>
  </authors>
  <commentList>
    <comment ref="E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J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O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T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Y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AD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AI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AN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AS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AX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BC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BH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BM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BR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BW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CB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CG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CL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CQ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CV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A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F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K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P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U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Z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EE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EJ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EO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ET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EY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FD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FI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FN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FS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FX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GC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GH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</commentList>
</comments>
</file>

<file path=xl/comments6.xml><?xml version="1.0" encoding="utf-8"?>
<comments xmlns="http://schemas.openxmlformats.org/spreadsheetml/2006/main">
  <authors>
    <author>berdine</author>
  </authors>
  <commentList>
    <comment ref="E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J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O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T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Y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AD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AI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AN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AS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AX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BC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BH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BM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BR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BW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CB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CG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CL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CQ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CV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A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F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K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P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U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DZ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EE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EJ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EO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ET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EY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FD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FI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FN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FS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FX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GC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GH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GM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GR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GW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HB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HG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HL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HQ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HV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IA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IF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IK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  <comment ref="IP11" authorId="0">
      <text>
        <r>
          <rPr>
            <b/>
            <sz val="8"/>
            <rFont val="Tahoma"/>
            <family val="2"/>
          </rPr>
          <t>berdine:</t>
        </r>
        <r>
          <rPr>
            <sz val="8"/>
            <rFont val="Tahoma"/>
            <family val="2"/>
          </rPr>
          <t xml:space="preserve">
Voorsiening is R276 535 pe maand en die begin saldo het veramder daarom negatief.</t>
        </r>
      </text>
    </comment>
  </commentList>
</comments>
</file>

<file path=xl/comments8.xml><?xml version="1.0" encoding="utf-8"?>
<comments xmlns="http://schemas.openxmlformats.org/spreadsheetml/2006/main">
  <authors>
    <author>Berdine Volschenk</author>
  </authors>
  <commentList>
    <comment ref="G7" authorId="0">
      <text>
        <r>
          <rPr>
            <b/>
            <sz val="8"/>
            <rFont val="Tahoma"/>
            <family val="2"/>
          </rPr>
          <t>Berdine Volschenk:</t>
        </r>
        <r>
          <rPr>
            <sz val="8"/>
            <rFont val="Tahoma"/>
            <family val="2"/>
          </rPr>
          <t xml:space="preserve">
Die begin saldo het verander  met R368 686.83 minder geraak.
</t>
        </r>
      </text>
    </comment>
  </commentList>
</comments>
</file>

<file path=xl/sharedStrings.xml><?xml version="1.0" encoding="utf-8"?>
<sst xmlns="http://schemas.openxmlformats.org/spreadsheetml/2006/main" count="4847" uniqueCount="614">
  <si>
    <t>External financing fund</t>
  </si>
  <si>
    <t>Self Insurance Reserve</t>
  </si>
  <si>
    <t>Bank and Cash</t>
  </si>
  <si>
    <t>30.6.2004</t>
  </si>
  <si>
    <t>Balance</t>
  </si>
  <si>
    <t xml:space="preserve">Loans </t>
  </si>
  <si>
    <t>Used to finance</t>
  </si>
  <si>
    <t>Cap.ex.</t>
  </si>
  <si>
    <t>Cash set aside for repayment of loans</t>
  </si>
  <si>
    <t>Total</t>
  </si>
  <si>
    <t>Cash and cash equivalents are allocated as follows:-</t>
  </si>
  <si>
    <t>Allocation of Investments, cash and cash equivalents</t>
  </si>
  <si>
    <t>Repaid</t>
  </si>
  <si>
    <t xml:space="preserve">Loans used to date </t>
  </si>
  <si>
    <t>Set aside for Creditor payments</t>
  </si>
  <si>
    <t>Set aside for retention</t>
  </si>
  <si>
    <t>31.05.2005</t>
  </si>
  <si>
    <t>Received</t>
  </si>
  <si>
    <t>Expenditure</t>
  </si>
  <si>
    <t>1.7.2004</t>
  </si>
  <si>
    <t>July - May</t>
  </si>
  <si>
    <t xml:space="preserve">Unutilised grants </t>
  </si>
  <si>
    <t>Capital receipts</t>
  </si>
  <si>
    <t>Housing Dev.Grants</t>
  </si>
  <si>
    <t>Operating</t>
  </si>
  <si>
    <t>Unutilized grants</t>
  </si>
  <si>
    <t>EFF ACCUMULATED DEPRECIATION</t>
  </si>
  <si>
    <t>Interest</t>
  </si>
  <si>
    <t>Capitalised</t>
  </si>
  <si>
    <t>funding suspense</t>
  </si>
  <si>
    <t>less:subs receiveable 708 avian park</t>
  </si>
  <si>
    <t>UITSTAANDE VANAF dbsa</t>
  </si>
  <si>
    <t>Vooruit ontvan vanf dbsa</t>
  </si>
  <si>
    <t>saldo eff</t>
  </si>
  <si>
    <t>EFF ACC. DEPR</t>
  </si>
  <si>
    <t>REDEMPTION FUND ABSA</t>
  </si>
  <si>
    <t>Particulars of Investments as prescribed in terms of section 17(1)(f) of the MFMA</t>
  </si>
  <si>
    <t>ABSA</t>
  </si>
  <si>
    <t>Nedbank</t>
  </si>
  <si>
    <t>First National Bank</t>
  </si>
  <si>
    <t>Standard Bank</t>
  </si>
  <si>
    <t>Investec</t>
  </si>
  <si>
    <t>Total short term</t>
  </si>
  <si>
    <t>30.6.2006</t>
  </si>
  <si>
    <t>INTEREST</t>
  </si>
  <si>
    <t>30.6.2005</t>
  </si>
  <si>
    <t>3 9020 127 416 00</t>
  </si>
  <si>
    <t>National Government</t>
  </si>
  <si>
    <t>Provincial  Government</t>
  </si>
  <si>
    <t>Cape Winelands D.M</t>
  </si>
  <si>
    <t>Housing</t>
  </si>
  <si>
    <t>Private Donations</t>
  </si>
  <si>
    <t>Other Municipalities</t>
  </si>
  <si>
    <t>BEREKENING</t>
  </si>
  <si>
    <t>Begin saldo van jaar</t>
  </si>
  <si>
    <t>Min</t>
  </si>
  <si>
    <t>Werklike uitgawes op kapitale spandering vir die maande so ver</t>
  </si>
  <si>
    <t>Plus</t>
  </si>
  <si>
    <t>Voorsienig vir die jaar  / deel deur 12 * maal met die aantal maande van die jaar</t>
  </si>
  <si>
    <t>Rente voorsiening nl Begin saldo van jaar *maal met gemiddelde % / deel deur 12</t>
  </si>
  <si>
    <r>
      <t xml:space="preserve">Capital Replacement reserve (Crr+Crrv+crrh) </t>
    </r>
    <r>
      <rPr>
        <sz val="8"/>
        <rFont val="Times New Roman"/>
        <family val="1"/>
      </rPr>
      <t>Sien onder</t>
    </r>
  </si>
  <si>
    <t>3 9030 532 305 00 - 99</t>
  </si>
  <si>
    <t>3 9030 532 310 00 - 99</t>
  </si>
  <si>
    <t>3 9030 532 322 00 - 99</t>
  </si>
  <si>
    <t>3 9030 532 323 00 - 99</t>
  </si>
  <si>
    <t>3 9030 532 324 00 - 99</t>
  </si>
  <si>
    <t>3 9030 532 325 00 - 99</t>
  </si>
  <si>
    <t>3 9030 532 326 00 - 99</t>
  </si>
  <si>
    <t>3 9030 532 332 00 - 99</t>
  </si>
  <si>
    <t>3 9030 532 351 00 - 99</t>
  </si>
  <si>
    <t>3 9030 532 352 00 - 99</t>
  </si>
  <si>
    <t>3 9030 532 372 00 - 99</t>
  </si>
  <si>
    <t>3 9030 532 380 00 - 99</t>
  </si>
  <si>
    <t>3 9030 532 381 00 - 99</t>
  </si>
  <si>
    <t>3 9030 532 382 00 - 99</t>
  </si>
  <si>
    <t>3 9030 532 383 00 - 99</t>
  </si>
  <si>
    <t>3 9030 532 384 00 - 99</t>
  </si>
  <si>
    <t>3 9030 532 385 00 - 99</t>
  </si>
  <si>
    <t>3 9030 532 388 00 - 99</t>
  </si>
  <si>
    <t>3 9001-611-810-000</t>
  </si>
  <si>
    <t>3 9001-611-820-000</t>
  </si>
  <si>
    <t>expenditure</t>
  </si>
  <si>
    <t xml:space="preserve">Capital </t>
  </si>
  <si>
    <t>3 9001 203 010</t>
  </si>
  <si>
    <t>3 9001 203 020</t>
  </si>
  <si>
    <t>3 9001 203 021</t>
  </si>
  <si>
    <t>Expenses</t>
  </si>
  <si>
    <t>Conttr</t>
  </si>
  <si>
    <t>Infrs housing</t>
  </si>
  <si>
    <t>Exp on CRR</t>
  </si>
  <si>
    <t>Cap Report</t>
  </si>
  <si>
    <t>3 9001 203 021 01</t>
  </si>
  <si>
    <t>-off/ Transfers</t>
  </si>
  <si>
    <t xml:space="preserve"> Capital Expenses</t>
  </si>
  <si>
    <t>3 9001 203 010 02</t>
  </si>
  <si>
    <t>Interest for the year</t>
  </si>
  <si>
    <t>R 6 141 535.14 x 12%</t>
  </si>
  <si>
    <t>gelyk aan R736 984.22 deel deur 12</t>
  </si>
  <si>
    <t>gelyk aan R 61 415.35 per maand</t>
  </si>
  <si>
    <t>Interest 2008/2009</t>
  </si>
  <si>
    <t>R 28 972 818.96</t>
  </si>
  <si>
    <t>Maal 12%</t>
  </si>
  <si>
    <t>Gelyk aan 3 476 738.28</t>
  </si>
  <si>
    <t>Deel deur 12</t>
  </si>
  <si>
    <t>R 289 728.19</t>
  </si>
  <si>
    <t>CRR Bulk Infrastruct</t>
  </si>
  <si>
    <t>3 9030 532 355 00 - 99</t>
  </si>
  <si>
    <t>3 9001 203 030 00</t>
  </si>
  <si>
    <t>010</t>
  </si>
  <si>
    <t>020</t>
  </si>
  <si>
    <t>021</t>
  </si>
  <si>
    <t>022</t>
  </si>
  <si>
    <t>3 9001 203 022</t>
  </si>
  <si>
    <t>2009/10</t>
  </si>
  <si>
    <t>R 52 264 719.82</t>
  </si>
  <si>
    <t>Gelyk aan 6 271 766.37</t>
  </si>
  <si>
    <t>R 522 647.19</t>
  </si>
  <si>
    <t>R 6 513 163 x 12%</t>
  </si>
  <si>
    <t>gelyk aan R781 579.56 deel deur 12</t>
  </si>
  <si>
    <t>gelyk aan R 65 131.63 per maand</t>
  </si>
  <si>
    <t>HOUSING DEVELOPMENT FUND</t>
  </si>
  <si>
    <t>Unappropriated Surplus</t>
  </si>
  <si>
    <t>Interest om Investments</t>
  </si>
  <si>
    <t>Adjustement Interest on Investment 30.6.2007</t>
  </si>
  <si>
    <t>Other Income</t>
  </si>
  <si>
    <t xml:space="preserve">Other Income </t>
  </si>
  <si>
    <t>Interest on Long-term debtors</t>
  </si>
  <si>
    <t>Other Income (net other revenue tranferred to Housing fund at year end</t>
  </si>
  <si>
    <t>Gamap Impl.Toilets IDT erven</t>
  </si>
  <si>
    <t>revenue to suspnse accounts</t>
  </si>
  <si>
    <t>(3-9001-205229-99)</t>
  </si>
  <si>
    <t>Gamap Impl. National Housing T/River</t>
  </si>
  <si>
    <t>(3-9001-205290-99)</t>
  </si>
  <si>
    <t>Gamap Impl.Loan source dwelling(LSD)</t>
  </si>
  <si>
    <t>(3-9050-850131-99)</t>
  </si>
  <si>
    <t>Gamap Impl.Loan source :Welfare(LWEL)</t>
  </si>
  <si>
    <t xml:space="preserve">adjustment prev.year </t>
  </si>
  <si>
    <t>(3-9050-850138-99)</t>
  </si>
  <si>
    <t>Operating account deficit 2004/2005</t>
  </si>
  <si>
    <t>trf to acc.surplus</t>
  </si>
  <si>
    <t>Adjustment 2004/05 and 2005/06</t>
  </si>
  <si>
    <t>Defict Operfsting Account</t>
  </si>
  <si>
    <t xml:space="preserve">Adjustment 2006/07 </t>
  </si>
  <si>
    <t>Adjustment 2007/08</t>
  </si>
  <si>
    <t>Surplus 2007/08</t>
  </si>
  <si>
    <t>Defict Operating Account 2008/2009</t>
  </si>
  <si>
    <t>Bad debts written off - Housing development fund rental schemes</t>
  </si>
  <si>
    <t>Provision bad debts</t>
  </si>
  <si>
    <t>Rental</t>
  </si>
  <si>
    <t>Long term</t>
  </si>
  <si>
    <t>(Deficit Housing Operating account)</t>
  </si>
  <si>
    <t>The Housing Development Fund is represented by the following assets and liabilities</t>
  </si>
  <si>
    <t>Selling Schemes</t>
  </si>
  <si>
    <t>Long term Debtors</t>
  </si>
  <si>
    <t>Ledger 3-9030-231115-00/99</t>
  </si>
  <si>
    <t>Dwellings</t>
  </si>
  <si>
    <t>( 3 9010 420100 00/05)</t>
  </si>
  <si>
    <t>(LSD)</t>
  </si>
  <si>
    <t>708 Avian Park RHP</t>
  </si>
  <si>
    <t>(3-9010-420101-00/07)</t>
  </si>
  <si>
    <t>(RHP)</t>
  </si>
  <si>
    <t>Community facilities</t>
  </si>
  <si>
    <t>( 3 9010 420110 00/07)</t>
  </si>
  <si>
    <t>(LSG)</t>
  </si>
  <si>
    <t>Individual</t>
  </si>
  <si>
    <t>( 3 9010 420140 00/07)</t>
  </si>
  <si>
    <t>(LBOND)</t>
  </si>
  <si>
    <t>Welfare</t>
  </si>
  <si>
    <t>( 3 9010 420170 00/07)</t>
  </si>
  <si>
    <t>(LWEL)</t>
  </si>
  <si>
    <t>Short term portion</t>
  </si>
  <si>
    <t>provision bad debts</t>
  </si>
  <si>
    <t>( 3 9020 126241 00/99)</t>
  </si>
  <si>
    <t>( 3 9020 126242 00/99)</t>
  </si>
  <si>
    <t>( 3 9020 126245 00/99)</t>
  </si>
  <si>
    <t>( 3 9020 126248 00/99)</t>
  </si>
  <si>
    <t>Other Debtors</t>
  </si>
  <si>
    <t>(see note 14)</t>
  </si>
  <si>
    <t>550 IDT ERVEN</t>
  </si>
  <si>
    <t>( 3 9010 421001 00/79 )</t>
  </si>
  <si>
    <t>350 Houses Avian park</t>
  </si>
  <si>
    <t>( 3 9010 421003 00/79 )</t>
  </si>
  <si>
    <t>339 Houses:Building costs</t>
  </si>
  <si>
    <t>( 3 9010 421004 00/79 )</t>
  </si>
  <si>
    <t>Debtors Rental: National Housing Fund Schemes</t>
  </si>
  <si>
    <t>3-9020-126240-00/99</t>
  </si>
  <si>
    <t>Cash and cash equivalents</t>
  </si>
  <si>
    <t xml:space="preserve">Balancing figure </t>
  </si>
  <si>
    <t>Total Housing Development Fund Assets and Liabilities</t>
  </si>
  <si>
    <t>(S72 Annexure A1)</t>
  </si>
  <si>
    <t>part of vote 3-9030-231110-00/79</t>
  </si>
  <si>
    <t>Consumer  and Sundry deposits</t>
  </si>
  <si>
    <t>Capital Replacement reserve</t>
  </si>
  <si>
    <t>30.6.2007</t>
  </si>
  <si>
    <t>30.6.2008</t>
  </si>
  <si>
    <t>Unspent  Ext.loans fund</t>
  </si>
  <si>
    <t>Vooruit ontvan vanf inca</t>
  </si>
  <si>
    <t>part of vote 3-9030-23110-00/79</t>
  </si>
  <si>
    <t>Adjustment Interest on Investment 30.6.2007</t>
  </si>
  <si>
    <t>31/11/2009</t>
  </si>
  <si>
    <t>3 9020 127 415 00</t>
  </si>
  <si>
    <t>30/12/2009</t>
  </si>
  <si>
    <t>31/01/2010</t>
  </si>
  <si>
    <t>28/02/2010</t>
  </si>
  <si>
    <t>31/03/2010</t>
  </si>
  <si>
    <t>30/04/2010</t>
  </si>
  <si>
    <t>31/05/2010</t>
  </si>
  <si>
    <t>30/06/2010</t>
  </si>
  <si>
    <t>3 9030 532 321 00 - 99</t>
  </si>
  <si>
    <t>31/07/2010</t>
  </si>
  <si>
    <t>31/08/2010</t>
  </si>
  <si>
    <t>30/09/2010</t>
  </si>
  <si>
    <t>31/10/2010</t>
  </si>
  <si>
    <t>30/11/2010</t>
  </si>
  <si>
    <t>31/12/2010</t>
  </si>
  <si>
    <t>Assets</t>
  </si>
  <si>
    <t>Lap-Top</t>
  </si>
  <si>
    <t>31/01/2011</t>
  </si>
  <si>
    <t>28/02/2011</t>
  </si>
  <si>
    <t>EFF Accumulated Depreciation</t>
  </si>
  <si>
    <t>External loans unspent</t>
  </si>
  <si>
    <t>31/03/2011</t>
  </si>
  <si>
    <t>30/04/2011</t>
  </si>
  <si>
    <t>31/05/2011</t>
  </si>
  <si>
    <t>30/06/2011</t>
  </si>
  <si>
    <t>31/07/2011</t>
  </si>
  <si>
    <t>31/08/2011</t>
  </si>
  <si>
    <t>CRR Bank 30.6.2011</t>
  </si>
  <si>
    <t>Spent July 2011</t>
  </si>
  <si>
    <t>Roll overs from 2010/2011</t>
  </si>
  <si>
    <t>Contribution July 2011</t>
  </si>
  <si>
    <t>Balance 31 July 2011</t>
  </si>
  <si>
    <t>Contribution August 2011</t>
  </si>
  <si>
    <t>Spent August</t>
  </si>
  <si>
    <t>Funding of Housing Zweletemba</t>
  </si>
  <si>
    <t>Balance 31 August 2011</t>
  </si>
  <si>
    <t>From July 2011</t>
  </si>
  <si>
    <t>30/09/2011</t>
  </si>
  <si>
    <t>Balance 30 Sept 2011</t>
  </si>
  <si>
    <t>Brandwacht Trust</t>
  </si>
  <si>
    <t>30.6.2003</t>
  </si>
  <si>
    <t>Average int rate</t>
  </si>
  <si>
    <t xml:space="preserve">Interest earned </t>
  </si>
  <si>
    <t>2003/2004</t>
  </si>
  <si>
    <t>2004/2005</t>
  </si>
  <si>
    <t>2005/2006</t>
  </si>
  <si>
    <t>2006/2007</t>
  </si>
  <si>
    <t>2007/2008</t>
  </si>
  <si>
    <t>2008/2009</t>
  </si>
  <si>
    <t>30.6.2009</t>
  </si>
  <si>
    <t>2009/2010</t>
  </si>
  <si>
    <t>30.6.2010</t>
  </si>
  <si>
    <t>2010/2011</t>
  </si>
  <si>
    <t>30.6.2011</t>
  </si>
  <si>
    <t>Balance 31 Oct 2011</t>
  </si>
  <si>
    <t>Contribution Oct 2011</t>
  </si>
  <si>
    <t>Contribution September 2011</t>
  </si>
  <si>
    <t>Total expenditure</t>
  </si>
  <si>
    <t>Contribution Nov 2011</t>
  </si>
  <si>
    <t>Spent September</t>
  </si>
  <si>
    <t>Spent October</t>
  </si>
  <si>
    <t>Balance 30 Nov 2011</t>
  </si>
  <si>
    <t>Balance 31 Dec 2011</t>
  </si>
  <si>
    <t>Cash back</t>
  </si>
  <si>
    <t>Contribution Des 2011</t>
  </si>
  <si>
    <t>Contribution Jan 2012</t>
  </si>
  <si>
    <t>Cash Surplus (Deficit)</t>
  </si>
  <si>
    <t>Balance 29 Febr 2012</t>
  </si>
  <si>
    <t>Balance 31 Jan 2012</t>
  </si>
  <si>
    <t>Contribution Febr 2012</t>
  </si>
  <si>
    <t xml:space="preserve">Spent </t>
  </si>
  <si>
    <t>Spent</t>
  </si>
  <si>
    <t>Balance 31 May2012</t>
  </si>
  <si>
    <t>Balance 31 Mrt2012</t>
  </si>
  <si>
    <t>Balance 30 Apr 2012</t>
  </si>
  <si>
    <t xml:space="preserve">Contribution </t>
  </si>
  <si>
    <t>Balance 30 June 2012</t>
  </si>
  <si>
    <t>Balance 31 July 2012</t>
  </si>
  <si>
    <t>30/09/2012</t>
  </si>
  <si>
    <t>30.6.2012</t>
  </si>
  <si>
    <t>Liability</t>
  </si>
  <si>
    <t>31/10/2012</t>
  </si>
  <si>
    <t>Balance 31 Aug 2012</t>
  </si>
  <si>
    <t>Balance 30 Sept 2012</t>
  </si>
  <si>
    <t>Balance 31 October 2012</t>
  </si>
  <si>
    <t>30/11/2012</t>
  </si>
  <si>
    <t>2011/2012</t>
  </si>
  <si>
    <t>30.6.2013</t>
  </si>
  <si>
    <t>31/12/2012</t>
  </si>
  <si>
    <t>Balance 30 November 2012</t>
  </si>
  <si>
    <t>Balance 31 December 2012</t>
  </si>
  <si>
    <t>31/01/2013</t>
  </si>
  <si>
    <t>Balance 31 January 2013</t>
  </si>
  <si>
    <t>28/02/2013</t>
  </si>
  <si>
    <t>Balance 28 February 2013</t>
  </si>
  <si>
    <t>31/03/2013</t>
  </si>
  <si>
    <t>30/04/2013</t>
  </si>
  <si>
    <t>Balance31 March 2013</t>
  </si>
  <si>
    <t>Balance30 April 2013</t>
  </si>
  <si>
    <t>31/05/2013</t>
  </si>
  <si>
    <t xml:space="preserve">R 315 000 already on vote </t>
  </si>
  <si>
    <t>capitalised</t>
  </si>
  <si>
    <t>30/06/2013</t>
  </si>
  <si>
    <t>Balance31 May 2013</t>
  </si>
  <si>
    <t>Balance30 June 2013</t>
  </si>
  <si>
    <t>31/07/2013</t>
  </si>
  <si>
    <t>Balance 31 July 2013</t>
  </si>
  <si>
    <t>31/08/2013</t>
  </si>
  <si>
    <t>2012/2013</t>
  </si>
  <si>
    <t>Balance 31 August 2013</t>
  </si>
  <si>
    <t>30.6.2014</t>
  </si>
  <si>
    <t>30/09/2013</t>
  </si>
  <si>
    <t>Balance 30 September 2013</t>
  </si>
  <si>
    <t>31/10/2013</t>
  </si>
  <si>
    <t>Balance 31 October 2013</t>
  </si>
  <si>
    <t>30/11/2013</t>
  </si>
  <si>
    <t>Balance 30 November 2013</t>
  </si>
  <si>
    <t>31/12/2013</t>
  </si>
  <si>
    <t>Balance 31 December 2013</t>
  </si>
  <si>
    <t>31/01/2014</t>
  </si>
  <si>
    <t>Balance 31 January 2014</t>
  </si>
  <si>
    <t>Exp: Operating</t>
  </si>
  <si>
    <t>Exp: Capital</t>
  </si>
  <si>
    <t>Balance year end</t>
  </si>
  <si>
    <t>Plus spend for the year</t>
  </si>
  <si>
    <t>Provision</t>
  </si>
  <si>
    <t>Balance at year end</t>
  </si>
  <si>
    <t>28/02/2014</t>
  </si>
  <si>
    <t>31/03/2014</t>
  </si>
  <si>
    <t>Balance 28 February 2014</t>
  </si>
  <si>
    <t>Balance 31 March 2014</t>
  </si>
  <si>
    <t>30/04/2014</t>
  </si>
  <si>
    <t>Performance Bonus Provision</t>
  </si>
  <si>
    <t>Performance Bonus Provison</t>
  </si>
  <si>
    <t>31/05/2014</t>
  </si>
  <si>
    <t>Balance 31 May 2014</t>
  </si>
  <si>
    <t>30/06/2014</t>
  </si>
  <si>
    <t>31/07/2014</t>
  </si>
  <si>
    <t>Balance 30 April 2014</t>
  </si>
  <si>
    <t>Balance 30 June 2014</t>
  </si>
  <si>
    <t>31/08/2014</t>
  </si>
  <si>
    <t>Balance 31 July 2014</t>
  </si>
  <si>
    <t>Balance 31 August  2014</t>
  </si>
  <si>
    <t>Balance 1/7/14</t>
  </si>
  <si>
    <t>EQ</t>
  </si>
  <si>
    <t>30/09/2014</t>
  </si>
  <si>
    <t>Balance 30 September  2014</t>
  </si>
  <si>
    <t>31/10/2014</t>
  </si>
  <si>
    <t>Balance 30 October  2014</t>
  </si>
  <si>
    <t>31/11/2014</t>
  </si>
  <si>
    <t>REEDS GEKAP</t>
  </si>
  <si>
    <t>31/12/2014</t>
  </si>
  <si>
    <t>Balance 31 Dec  2014</t>
  </si>
  <si>
    <t>Balance 30 Nov  2014</t>
  </si>
  <si>
    <t>Reeds gekapt</t>
  </si>
  <si>
    <t>31/01/2015</t>
  </si>
  <si>
    <t>Balance 31 Jan 2015</t>
  </si>
  <si>
    <t>28/02/2015</t>
  </si>
  <si>
    <t>Balance 28 Febr 2015</t>
  </si>
  <si>
    <t>Reeds gekaptiseer</t>
  </si>
  <si>
    <t>31/03/2015</t>
  </si>
  <si>
    <t>Till 30-04-2015</t>
  </si>
  <si>
    <t>30-04-2015</t>
  </si>
  <si>
    <t>30/04/2015</t>
  </si>
  <si>
    <t>31/05/2015</t>
  </si>
  <si>
    <t>Balance31 March 2015</t>
  </si>
  <si>
    <t>Balance30 April 2015</t>
  </si>
  <si>
    <t>Balance 31 May 2015</t>
  </si>
  <si>
    <t>30/06/2015</t>
  </si>
  <si>
    <t>30-06-2015</t>
  </si>
  <si>
    <t>Till 30-06-2015</t>
  </si>
  <si>
    <t>31/07/2015</t>
  </si>
  <si>
    <t>2015/06/31</t>
  </si>
  <si>
    <t>Balance 30 June 2015</t>
  </si>
  <si>
    <t>Balance 30 July 2015</t>
  </si>
  <si>
    <t>Till 31-07-2015</t>
  </si>
  <si>
    <t>31-07-2015</t>
  </si>
  <si>
    <t>CFO: D McThomas</t>
  </si>
  <si>
    <t>Date:</t>
  </si>
  <si>
    <t>31/08/2015</t>
  </si>
  <si>
    <t>FINAL</t>
  </si>
  <si>
    <t>Balance 31 Agust 2015</t>
  </si>
  <si>
    <t>Till 31-08-2015</t>
  </si>
  <si>
    <t>31-08-2015</t>
  </si>
  <si>
    <t>30/09/2015</t>
  </si>
  <si>
    <t>Till 30-09-2015</t>
  </si>
  <si>
    <t>30-09-2015</t>
  </si>
  <si>
    <t>Balance 30 Sept 2015</t>
  </si>
  <si>
    <t>31/10/2015</t>
  </si>
  <si>
    <t>Till 31-10-2015</t>
  </si>
  <si>
    <t>31-10-2015</t>
  </si>
  <si>
    <t>Balance 31 Oct 2015</t>
  </si>
  <si>
    <t>30/11/2015</t>
  </si>
  <si>
    <t>Balance 30 Nov 2015</t>
  </si>
  <si>
    <t>Till 30-11-2015</t>
  </si>
  <si>
    <t>30-11-2015</t>
  </si>
  <si>
    <t>31/12/2015</t>
  </si>
  <si>
    <t>Till 31-12-2015</t>
  </si>
  <si>
    <t>31-12-2015</t>
  </si>
  <si>
    <t>Balance 31 Dec 2015</t>
  </si>
  <si>
    <t>31/01/2016</t>
  </si>
  <si>
    <t>Till 31-01-2016</t>
  </si>
  <si>
    <t>31-01-2016</t>
  </si>
  <si>
    <t>Balance 31 JAN 2016</t>
  </si>
  <si>
    <t>28/02/2016</t>
  </si>
  <si>
    <t>28-02-2016</t>
  </si>
  <si>
    <t>Till 28-02-2016</t>
  </si>
  <si>
    <t>Balance 28 February  2016</t>
  </si>
  <si>
    <t>31/03/2016</t>
  </si>
  <si>
    <t>Till 31-03-2016</t>
  </si>
  <si>
    <t>31-03-2016</t>
  </si>
  <si>
    <t>Total kapital</t>
  </si>
  <si>
    <t>30/04/2016</t>
  </si>
  <si>
    <t>Till 30-04-2016</t>
  </si>
  <si>
    <t>30-04-2016</t>
  </si>
  <si>
    <t>Balance 30 April 2016</t>
  </si>
  <si>
    <t>Balance 31 March   2016</t>
  </si>
  <si>
    <t>31/05/2016</t>
  </si>
  <si>
    <t>Till 31-05-2016</t>
  </si>
  <si>
    <t>31-05-2016</t>
  </si>
  <si>
    <t>Balance 301 May 2016</t>
  </si>
  <si>
    <t>LT loan - cash back</t>
  </si>
  <si>
    <t>30/06/2016</t>
  </si>
  <si>
    <t>Till 30-06-2016</t>
  </si>
  <si>
    <t>30-06-2016</t>
  </si>
  <si>
    <t>Balance 30 June 2016</t>
  </si>
  <si>
    <t>31/07/2016</t>
  </si>
  <si>
    <t>Till 31-07-2016</t>
  </si>
  <si>
    <t>31-07-2016</t>
  </si>
  <si>
    <t>Till 31-08-2016</t>
  </si>
  <si>
    <t>31-08-2016</t>
  </si>
  <si>
    <t>3 9001 203 010 00</t>
  </si>
  <si>
    <t>31/08/2016</t>
  </si>
  <si>
    <t>2013/2014/15/16</t>
  </si>
  <si>
    <t>30/09/2016</t>
  </si>
  <si>
    <t>Till 30-09-2016</t>
  </si>
  <si>
    <t>30-09-2016</t>
  </si>
  <si>
    <t>Till 31-10-2016</t>
  </si>
  <si>
    <t>31-10-2016</t>
  </si>
  <si>
    <t>31/10/2016</t>
  </si>
  <si>
    <t>30/11/2016</t>
  </si>
  <si>
    <t>Till 30-11-2016</t>
  </si>
  <si>
    <t>30-11-2016</t>
  </si>
  <si>
    <t>Balance 30 July2016</t>
  </si>
  <si>
    <t>Balance 30 aug 2016</t>
  </si>
  <si>
    <t>Balance 30 Sept 2016</t>
  </si>
  <si>
    <t>Balance 30 Oct 2016</t>
  </si>
  <si>
    <t>Balance 30 Nov 2016</t>
  </si>
  <si>
    <t>Till 31-12-2016</t>
  </si>
  <si>
    <t>31-12-2016</t>
  </si>
  <si>
    <t>Balance 31 Dec 2016</t>
  </si>
  <si>
    <t>31/12/2016</t>
  </si>
  <si>
    <t>Till 31-01-206</t>
  </si>
  <si>
    <t>31-01-2017</t>
  </si>
  <si>
    <t>31/11/2016</t>
  </si>
  <si>
    <t>31/01/2017</t>
  </si>
  <si>
    <t>Balance 31 Jan 2017</t>
  </si>
  <si>
    <t>Till 28-02-2017</t>
  </si>
  <si>
    <t>28-02-2017</t>
  </si>
  <si>
    <t>28/02/2017</t>
  </si>
  <si>
    <t>Balance 28 Febr 2017</t>
  </si>
  <si>
    <t>31/03/2017</t>
  </si>
  <si>
    <t>Till 31-03-2017</t>
  </si>
  <si>
    <t>31-03-2017</t>
  </si>
  <si>
    <t>Balance 31 March 2017</t>
  </si>
  <si>
    <t>CFO:  R Ontong</t>
  </si>
  <si>
    <t>30/04/2017</t>
  </si>
  <si>
    <t>Till 30-04-2017</t>
  </si>
  <si>
    <t>30-04-2017</t>
  </si>
  <si>
    <t>Balance 30 April 2017</t>
  </si>
  <si>
    <t>31/05/2017</t>
  </si>
  <si>
    <t>Till 31-05-2017</t>
  </si>
  <si>
    <t>31-05-2017</t>
  </si>
  <si>
    <t>Balance 31 May 2017</t>
  </si>
  <si>
    <t>30/06/2017</t>
  </si>
  <si>
    <t>Till 30-06-2017</t>
  </si>
  <si>
    <t>30-06-2017</t>
  </si>
  <si>
    <t>Balance 30 June 2017</t>
  </si>
  <si>
    <t>Preliminary</t>
  </si>
  <si>
    <t>Till 31-07-2017</t>
  </si>
  <si>
    <t>31-07-2017</t>
  </si>
  <si>
    <t>2017/18</t>
  </si>
  <si>
    <t>31/07/2017</t>
  </si>
  <si>
    <t>31/7/2017</t>
  </si>
  <si>
    <t>31/8/2017</t>
  </si>
  <si>
    <t>31/08/2017</t>
  </si>
  <si>
    <t>MM</t>
  </si>
  <si>
    <t>CFO</t>
  </si>
  <si>
    <t>Director Technical</t>
  </si>
  <si>
    <t>Director Corporate</t>
  </si>
  <si>
    <t>Balance 31 July 2017</t>
  </si>
  <si>
    <t>Balance 31 August 2017</t>
  </si>
  <si>
    <t>Less leave total</t>
  </si>
  <si>
    <t>Post medical</t>
  </si>
  <si>
    <t>AFS: current liabilities</t>
  </si>
  <si>
    <t>Plus 20% of leave</t>
  </si>
  <si>
    <t>30/9/2017</t>
  </si>
  <si>
    <t>Till 30-09-2017</t>
  </si>
  <si>
    <t>30-08-2017</t>
  </si>
  <si>
    <t>Balance 30 September 2017</t>
  </si>
  <si>
    <t>31/10/2017</t>
  </si>
  <si>
    <t>Preliminary (audit not final)</t>
  </si>
  <si>
    <t>30/09/2017</t>
  </si>
  <si>
    <t>Final</t>
  </si>
  <si>
    <t>30/11/2017</t>
  </si>
  <si>
    <t>Till 30-11-2017</t>
  </si>
  <si>
    <t>Balance 31 October 2017</t>
  </si>
  <si>
    <t>Balance 30 November 2017</t>
  </si>
  <si>
    <t>31/12/2017</t>
  </si>
  <si>
    <t>Till 31-12-2017</t>
  </si>
  <si>
    <t>31/01/2018</t>
  </si>
  <si>
    <t>Till 31-01-2018</t>
  </si>
  <si>
    <t>28/02/2018</t>
  </si>
  <si>
    <t>Till 28-02-2018</t>
  </si>
  <si>
    <t>31/1/2018</t>
  </si>
  <si>
    <t>28/2/2018</t>
  </si>
  <si>
    <t>Balance 31  December 2017</t>
  </si>
  <si>
    <t>Balance 31 January  2018</t>
  </si>
  <si>
    <t>Balance 28 February  2018</t>
  </si>
  <si>
    <t>31/03/2018</t>
  </si>
  <si>
    <t>Till 31-03-2018</t>
  </si>
  <si>
    <t>31/3/2018</t>
  </si>
  <si>
    <t>Balance 31 March  2018</t>
  </si>
  <si>
    <t>30/04/2018</t>
  </si>
  <si>
    <t>Till 30-04-2018</t>
  </si>
  <si>
    <t>30/4/2018</t>
  </si>
  <si>
    <t>Balance 30 April  2018</t>
  </si>
  <si>
    <t>31/05/2018</t>
  </si>
  <si>
    <t>Till 31-05-2018</t>
  </si>
  <si>
    <t>31/5/2018</t>
  </si>
  <si>
    <t>Balance 31 May  2018</t>
  </si>
  <si>
    <t>30/06/2018</t>
  </si>
  <si>
    <t>Till 30-06-2018</t>
  </si>
  <si>
    <t>30/6/2018</t>
  </si>
  <si>
    <t>Opening balance</t>
  </si>
  <si>
    <t>Bydrae</t>
  </si>
  <si>
    <t>Uitgawes year</t>
  </si>
  <si>
    <t>Balance 30 June  2018</t>
  </si>
  <si>
    <t>31/07/2018</t>
  </si>
  <si>
    <t>Till 31-07-2018</t>
  </si>
  <si>
    <t>2018/19</t>
  </si>
  <si>
    <t>31/08/2018</t>
  </si>
  <si>
    <t>Till 31-08-2018</t>
  </si>
  <si>
    <t>31/06/2018</t>
  </si>
  <si>
    <t>30/7/2018</t>
  </si>
  <si>
    <t>30/8/2018</t>
  </si>
  <si>
    <t>Unidentified deposits</t>
  </si>
  <si>
    <t>30/09/2018</t>
  </si>
  <si>
    <t>Till 30-09-2018</t>
  </si>
  <si>
    <t>Balance 31 July  2018</t>
  </si>
  <si>
    <t>Balance 31 August 2018</t>
  </si>
  <si>
    <t>Balance 30 September 2018</t>
  </si>
  <si>
    <t>31/10/2018</t>
  </si>
  <si>
    <t>Before final audit</t>
  </si>
  <si>
    <t>Till 31-10-2018</t>
  </si>
  <si>
    <t>30/9/2018</t>
  </si>
  <si>
    <t>Balance 31 October 2018</t>
  </si>
  <si>
    <t>30/11/2018</t>
  </si>
  <si>
    <t>Till 30-11-2018</t>
  </si>
  <si>
    <t>Balance 30 November 2018</t>
  </si>
  <si>
    <t>31/12/2018</t>
  </si>
  <si>
    <t>31/01/2019</t>
  </si>
  <si>
    <t>Till 31-01-2019</t>
  </si>
  <si>
    <t>Balance 31 December 2018</t>
  </si>
  <si>
    <t>Balance 31 January 2019</t>
  </si>
  <si>
    <t>28/02/2019</t>
  </si>
  <si>
    <t>Consumers</t>
  </si>
  <si>
    <t>Other</t>
  </si>
  <si>
    <t>3-012-404-0010 = 3-012-404-0019</t>
  </si>
  <si>
    <t>mscoa</t>
  </si>
  <si>
    <t>Balance 28 February 2019</t>
  </si>
  <si>
    <t>31/03/2019</t>
  </si>
  <si>
    <t>Till 31-03-2019</t>
  </si>
  <si>
    <t>Balance 31 March 2019</t>
  </si>
  <si>
    <t>30/04/2019</t>
  </si>
  <si>
    <t>Till 30-04-2019</t>
  </si>
  <si>
    <t>28/03/2019</t>
  </si>
  <si>
    <t>28/04/2019</t>
  </si>
  <si>
    <t>Balance 30 April 2019</t>
  </si>
  <si>
    <t>31/05/2019</t>
  </si>
  <si>
    <t>Till 31-05-2019</t>
  </si>
  <si>
    <t>Balance 31 May 2019</t>
  </si>
  <si>
    <t>Preliminery</t>
  </si>
  <si>
    <t>30/06/2019</t>
  </si>
  <si>
    <t>Till 30-06-2019</t>
  </si>
  <si>
    <t>31/07/2019</t>
  </si>
  <si>
    <t>Till 31-07-2019</t>
  </si>
  <si>
    <t>2019/20</t>
  </si>
  <si>
    <t>31/08/2019</t>
  </si>
  <si>
    <t>30/09/2019</t>
  </si>
  <si>
    <t>Till 30-09-2019</t>
  </si>
  <si>
    <t>30/07/2019</t>
  </si>
  <si>
    <t>30/08/2019</t>
  </si>
  <si>
    <t>Balance 30 June 2019</t>
  </si>
  <si>
    <t>Balance 31 July2019</t>
  </si>
  <si>
    <t>Balance 31 Aug 2019</t>
  </si>
  <si>
    <t>Balance 30 SEpt 2019</t>
  </si>
  <si>
    <t>31/10/2019</t>
  </si>
  <si>
    <t>Till 31-10-2019</t>
  </si>
  <si>
    <t>Balance 31 October 2019</t>
  </si>
  <si>
    <t xml:space="preserve">Total Contribution </t>
  </si>
  <si>
    <t>Till 30-11-2019</t>
  </si>
  <si>
    <t>30/11/2019</t>
  </si>
  <si>
    <t>Balance 30 November 2019</t>
  </si>
  <si>
    <t>31/12/2019</t>
  </si>
  <si>
    <t>Till 31-12-2019</t>
  </si>
  <si>
    <t>Balance 31 December 2019</t>
  </si>
  <si>
    <t>31/01/2020</t>
  </si>
  <si>
    <t>Till 31-01-2020</t>
  </si>
  <si>
    <t>"30111068430</t>
  </si>
  <si>
    <t>Retained surplus (unidentified dep.)</t>
  </si>
  <si>
    <t>Provision for leave Payment</t>
  </si>
  <si>
    <t xml:space="preserve">Cash on hand </t>
  </si>
  <si>
    <t>Date:  12 February 2020</t>
  </si>
</sst>
</file>

<file path=xl/styles.xml><?xml version="1.0" encoding="utf-8"?>
<styleSheet xmlns="http://schemas.openxmlformats.org/spreadsheetml/2006/main">
  <numFmts count="5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m/d"/>
    <numFmt numFmtId="183" formatCode="[$-1C09]dd\ mmmm\ yyyy"/>
    <numFmt numFmtId="184" formatCode="_ * #,##0_ ;_ * \-#,##0_ ;_ * &quot;-&quot;??_ ;_ @_ "/>
    <numFmt numFmtId="185" formatCode="_ [$R-1C09]\ * #,##0.00_ ;_ [$R-1C09]\ * \-#,##0.00_ ;_ [$R-1C09]\ * &quot;-&quot;??_ ;_ @_ "/>
    <numFmt numFmtId="186" formatCode="[$-409]dddd\,\ mmmm\ dd\,\ yyyy"/>
    <numFmt numFmtId="187" formatCode="[$-409]d\-mmm\-yy;@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#,##0_ ;[Red]\-#,##0\ "/>
    <numFmt numFmtId="195" formatCode="#&quot; &quot;###&quot; &quot;##0_);[Red]\(#&quot; &quot;###&quot; &quot;##0\)"/>
    <numFmt numFmtId="196" formatCode="#&quot; &quot;###&quot; &quot;##0_);\(#&quot; &quot;###&quot; &quot;##0\)"/>
    <numFmt numFmtId="197" formatCode="#,##0.00;[Red]\(#,##0.00\)"/>
    <numFmt numFmtId="198" formatCode="yy/mm/dd;@"/>
    <numFmt numFmtId="199" formatCode="#,##0.00_ ;\-#,##0.00\ "/>
    <numFmt numFmtId="200" formatCode="#,##0_ ;\-#,##0\ "/>
    <numFmt numFmtId="201" formatCode="0_);\(0\)"/>
    <numFmt numFmtId="202" formatCode="d/mm/yyyy;@"/>
    <numFmt numFmtId="203" formatCode="\(###&quot; ,&quot;###_);\(###&quot;, &quot;###\)"/>
    <numFmt numFmtId="204" formatCode="0.0%"/>
    <numFmt numFmtId="205" formatCode="#,##0.00;\(#,##0.00\)"/>
    <numFmt numFmtId="206" formatCode="0.0000"/>
    <numFmt numFmtId="207" formatCode="#,##0.0000000000"/>
    <numFmt numFmtId="208" formatCode="#,##0.000000000"/>
  </numFmts>
  <fonts count="8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2"/>
      <name val="Arial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6.6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9"/>
      <color indexed="10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color indexed="3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6.6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7030A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24" fillId="3" borderId="0" applyNumberFormat="0" applyBorder="0" applyAlignment="0" applyProtection="0"/>
    <xf numFmtId="0" fontId="63" fillId="4" borderId="0" applyNumberFormat="0" applyBorder="0" applyAlignment="0" applyProtection="0"/>
    <xf numFmtId="0" fontId="24" fillId="5" borderId="0" applyNumberFormat="0" applyBorder="0" applyAlignment="0" applyProtection="0"/>
    <xf numFmtId="0" fontId="63" fillId="6" borderId="0" applyNumberFormat="0" applyBorder="0" applyAlignment="0" applyProtection="0"/>
    <xf numFmtId="0" fontId="24" fillId="7" borderId="0" applyNumberFormat="0" applyBorder="0" applyAlignment="0" applyProtection="0"/>
    <xf numFmtId="0" fontId="63" fillId="8" borderId="0" applyNumberFormat="0" applyBorder="0" applyAlignment="0" applyProtection="0"/>
    <xf numFmtId="0" fontId="24" fillId="9" borderId="0" applyNumberFormat="0" applyBorder="0" applyAlignment="0" applyProtection="0"/>
    <xf numFmtId="0" fontId="63" fillId="10" borderId="0" applyNumberFormat="0" applyBorder="0" applyAlignment="0" applyProtection="0"/>
    <xf numFmtId="0" fontId="24" fillId="11" borderId="0" applyNumberFormat="0" applyBorder="0" applyAlignment="0" applyProtection="0"/>
    <xf numFmtId="0" fontId="63" fillId="12" borderId="0" applyNumberFormat="0" applyBorder="0" applyAlignment="0" applyProtection="0"/>
    <xf numFmtId="0" fontId="24" fillId="13" borderId="0" applyNumberFormat="0" applyBorder="0" applyAlignment="0" applyProtection="0"/>
    <xf numFmtId="0" fontId="63" fillId="14" borderId="0" applyNumberFormat="0" applyBorder="0" applyAlignment="0" applyProtection="0"/>
    <xf numFmtId="0" fontId="24" fillId="15" borderId="0" applyNumberFormat="0" applyBorder="0" applyAlignment="0" applyProtection="0"/>
    <xf numFmtId="0" fontId="63" fillId="16" borderId="0" applyNumberFormat="0" applyBorder="0" applyAlignment="0" applyProtection="0"/>
    <xf numFmtId="0" fontId="24" fillId="17" borderId="0" applyNumberFormat="0" applyBorder="0" applyAlignment="0" applyProtection="0"/>
    <xf numFmtId="0" fontId="63" fillId="18" borderId="0" applyNumberFormat="0" applyBorder="0" applyAlignment="0" applyProtection="0"/>
    <xf numFmtId="0" fontId="24" fillId="19" borderId="0" applyNumberFormat="0" applyBorder="0" applyAlignment="0" applyProtection="0"/>
    <xf numFmtId="0" fontId="63" fillId="20" borderId="0" applyNumberFormat="0" applyBorder="0" applyAlignment="0" applyProtection="0"/>
    <xf numFmtId="0" fontId="24" fillId="9" borderId="0" applyNumberFormat="0" applyBorder="0" applyAlignment="0" applyProtection="0"/>
    <xf numFmtId="0" fontId="63" fillId="21" borderId="0" applyNumberFormat="0" applyBorder="0" applyAlignment="0" applyProtection="0"/>
    <xf numFmtId="0" fontId="24" fillId="15" borderId="0" applyNumberFormat="0" applyBorder="0" applyAlignment="0" applyProtection="0"/>
    <xf numFmtId="0" fontId="63" fillId="22" borderId="0" applyNumberFormat="0" applyBorder="0" applyAlignment="0" applyProtection="0"/>
    <xf numFmtId="0" fontId="24" fillId="23" borderId="0" applyNumberFormat="0" applyBorder="0" applyAlignment="0" applyProtection="0"/>
    <xf numFmtId="0" fontId="64" fillId="24" borderId="0" applyNumberFormat="0" applyBorder="0" applyAlignment="0" applyProtection="0"/>
    <xf numFmtId="0" fontId="27" fillId="25" borderId="0" applyNumberFormat="0" applyBorder="0" applyAlignment="0" applyProtection="0"/>
    <xf numFmtId="0" fontId="64" fillId="26" borderId="0" applyNumberFormat="0" applyBorder="0" applyAlignment="0" applyProtection="0"/>
    <xf numFmtId="0" fontId="27" fillId="17" borderId="0" applyNumberFormat="0" applyBorder="0" applyAlignment="0" applyProtection="0"/>
    <xf numFmtId="0" fontId="64" fillId="27" borderId="0" applyNumberFormat="0" applyBorder="0" applyAlignment="0" applyProtection="0"/>
    <xf numFmtId="0" fontId="27" fillId="19" borderId="0" applyNumberFormat="0" applyBorder="0" applyAlignment="0" applyProtection="0"/>
    <xf numFmtId="0" fontId="64" fillId="28" borderId="0" applyNumberFormat="0" applyBorder="0" applyAlignment="0" applyProtection="0"/>
    <xf numFmtId="0" fontId="27" fillId="29" borderId="0" applyNumberFormat="0" applyBorder="0" applyAlignment="0" applyProtection="0"/>
    <xf numFmtId="0" fontId="64" fillId="30" borderId="0" applyNumberFormat="0" applyBorder="0" applyAlignment="0" applyProtection="0"/>
    <xf numFmtId="0" fontId="27" fillId="31" borderId="0" applyNumberFormat="0" applyBorder="0" applyAlignment="0" applyProtection="0"/>
    <xf numFmtId="0" fontId="64" fillId="32" borderId="0" applyNumberFormat="0" applyBorder="0" applyAlignment="0" applyProtection="0"/>
    <xf numFmtId="0" fontId="27" fillId="33" borderId="0" applyNumberFormat="0" applyBorder="0" applyAlignment="0" applyProtection="0"/>
    <xf numFmtId="0" fontId="64" fillId="34" borderId="0" applyNumberFormat="0" applyBorder="0" applyAlignment="0" applyProtection="0"/>
    <xf numFmtId="0" fontId="27" fillId="35" borderId="0" applyNumberFormat="0" applyBorder="0" applyAlignment="0" applyProtection="0"/>
    <xf numFmtId="0" fontId="64" fillId="36" borderId="0" applyNumberFormat="0" applyBorder="0" applyAlignment="0" applyProtection="0"/>
    <xf numFmtId="0" fontId="27" fillId="37" borderId="0" applyNumberFormat="0" applyBorder="0" applyAlignment="0" applyProtection="0"/>
    <xf numFmtId="0" fontId="64" fillId="38" borderId="0" applyNumberFormat="0" applyBorder="0" applyAlignment="0" applyProtection="0"/>
    <xf numFmtId="0" fontId="27" fillId="39" borderId="0" applyNumberFormat="0" applyBorder="0" applyAlignment="0" applyProtection="0"/>
    <xf numFmtId="0" fontId="64" fillId="40" borderId="0" applyNumberFormat="0" applyBorder="0" applyAlignment="0" applyProtection="0"/>
    <xf numFmtId="0" fontId="27" fillId="29" borderId="0" applyNumberFormat="0" applyBorder="0" applyAlignment="0" applyProtection="0"/>
    <xf numFmtId="0" fontId="64" fillId="41" borderId="0" applyNumberFormat="0" applyBorder="0" applyAlignment="0" applyProtection="0"/>
    <xf numFmtId="0" fontId="27" fillId="31" borderId="0" applyNumberFormat="0" applyBorder="0" applyAlignment="0" applyProtection="0"/>
    <xf numFmtId="0" fontId="64" fillId="42" borderId="0" applyNumberFormat="0" applyBorder="0" applyAlignment="0" applyProtection="0"/>
    <xf numFmtId="0" fontId="27" fillId="43" borderId="0" applyNumberFormat="0" applyBorder="0" applyAlignment="0" applyProtection="0"/>
    <xf numFmtId="0" fontId="65" fillId="44" borderId="0" applyNumberFormat="0" applyBorder="0" applyAlignment="0" applyProtection="0"/>
    <xf numFmtId="0" fontId="28" fillId="5" borderId="0" applyNumberFormat="0" applyBorder="0" applyAlignment="0" applyProtection="0"/>
    <xf numFmtId="0" fontId="66" fillId="45" borderId="1" applyNumberFormat="0" applyAlignment="0" applyProtection="0"/>
    <xf numFmtId="0" fontId="29" fillId="46" borderId="2" applyNumberFormat="0" applyAlignment="0" applyProtection="0"/>
    <xf numFmtId="0" fontId="67" fillId="47" borderId="3" applyNumberFormat="0" applyAlignment="0" applyProtection="0"/>
    <xf numFmtId="0" fontId="30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6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32" fillId="7" borderId="0" applyNumberFormat="0" applyBorder="0" applyAlignment="0" applyProtection="0"/>
    <xf numFmtId="0" fontId="71" fillId="0" borderId="5" applyNumberFormat="0" applyFill="0" applyAlignment="0" applyProtection="0"/>
    <xf numFmtId="0" fontId="33" fillId="0" borderId="6" applyNumberFormat="0" applyFill="0" applyAlignment="0" applyProtection="0"/>
    <xf numFmtId="0" fontId="72" fillId="0" borderId="7" applyNumberFormat="0" applyFill="0" applyAlignment="0" applyProtection="0"/>
    <xf numFmtId="0" fontId="34" fillId="0" borderId="8" applyNumberFormat="0" applyFill="0" applyAlignment="0" applyProtection="0"/>
    <xf numFmtId="0" fontId="73" fillId="0" borderId="9" applyNumberFormat="0" applyFill="0" applyAlignment="0" applyProtection="0"/>
    <xf numFmtId="0" fontId="35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50" borderId="1" applyNumberFormat="0" applyAlignment="0" applyProtection="0"/>
    <xf numFmtId="0" fontId="36" fillId="13" borderId="2" applyNumberFormat="0" applyAlignment="0" applyProtection="0"/>
    <xf numFmtId="0" fontId="76" fillId="0" borderId="11" applyNumberFormat="0" applyFill="0" applyAlignment="0" applyProtection="0"/>
    <xf numFmtId="0" fontId="37" fillId="0" borderId="12" applyNumberFormat="0" applyFill="0" applyAlignment="0" applyProtection="0"/>
    <xf numFmtId="0" fontId="77" fillId="51" borderId="0" applyNumberFormat="0" applyBorder="0" applyAlignment="0" applyProtection="0"/>
    <xf numFmtId="0" fontId="38" fillId="52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78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26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181" fontId="0" fillId="0" borderId="0" xfId="69" applyNumberFormat="1" applyFont="1" applyAlignment="1">
      <alignment/>
    </xf>
    <xf numFmtId="181" fontId="1" fillId="0" borderId="19" xfId="69" applyNumberFormat="1" applyFont="1" applyBorder="1" applyAlignment="1">
      <alignment/>
    </xf>
    <xf numFmtId="0" fontId="0" fillId="0" borderId="0" xfId="0" applyAlignment="1" quotePrefix="1">
      <alignment/>
    </xf>
    <xf numFmtId="181" fontId="0" fillId="0" borderId="20" xfId="69" applyNumberFormat="1" applyFont="1" applyBorder="1" applyAlignment="1">
      <alignment/>
    </xf>
    <xf numFmtId="181" fontId="0" fillId="0" borderId="21" xfId="69" applyNumberFormat="1" applyFont="1" applyBorder="1" applyAlignment="1">
      <alignment/>
    </xf>
    <xf numFmtId="181" fontId="1" fillId="0" borderId="22" xfId="69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81" fontId="1" fillId="0" borderId="23" xfId="69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81" fontId="1" fillId="0" borderId="0" xfId="69" applyNumberFormat="1" applyFont="1" applyAlignment="1">
      <alignment horizontal="center"/>
    </xf>
    <xf numFmtId="0" fontId="1" fillId="0" borderId="0" xfId="0" applyFont="1" applyAlignment="1">
      <alignment horizontal="left"/>
    </xf>
    <xf numFmtId="181" fontId="0" fillId="0" borderId="0" xfId="69" applyNumberFormat="1" applyFont="1" applyAlignment="1">
      <alignment horizontal="center"/>
    </xf>
    <xf numFmtId="181" fontId="0" fillId="0" borderId="0" xfId="69" applyNumberFormat="1" applyFont="1" applyAlignment="1">
      <alignment horizontal="left"/>
    </xf>
    <xf numFmtId="181" fontId="1" fillId="0" borderId="19" xfId="69" applyNumberFormat="1" applyFont="1" applyBorder="1" applyAlignment="1">
      <alignment horizontal="center"/>
    </xf>
    <xf numFmtId="181" fontId="1" fillId="0" borderId="19" xfId="69" applyNumberFormat="1" applyFont="1" applyBorder="1" applyAlignment="1">
      <alignment horizontal="left"/>
    </xf>
    <xf numFmtId="171" fontId="0" fillId="55" borderId="0" xfId="69" applyFont="1" applyFill="1" applyAlignment="1">
      <alignment/>
    </xf>
    <xf numFmtId="0" fontId="4" fillId="0" borderId="0" xfId="0" applyFont="1" applyAlignment="1">
      <alignment/>
    </xf>
    <xf numFmtId="181" fontId="4" fillId="0" borderId="0" xfId="69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/>
    </xf>
    <xf numFmtId="15" fontId="8" fillId="0" borderId="0" xfId="0" applyNumberFormat="1" applyFont="1" applyAlignment="1">
      <alignment horizontal="center"/>
    </xf>
    <xf numFmtId="15" fontId="9" fillId="0" borderId="25" xfId="0" applyNumberFormat="1" applyFont="1" applyBorder="1" applyAlignment="1">
      <alignment horizontal="center"/>
    </xf>
    <xf numFmtId="15" fontId="9" fillId="0" borderId="26" xfId="0" applyNumberFormat="1" applyFont="1" applyBorder="1" applyAlignment="1">
      <alignment horizontal="center"/>
    </xf>
    <xf numFmtId="15" fontId="9" fillId="0" borderId="27" xfId="0" applyNumberFormat="1" applyFont="1" applyBorder="1" applyAlignment="1">
      <alignment horizontal="center"/>
    </xf>
    <xf numFmtId="15" fontId="9" fillId="0" borderId="28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29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3" fontId="8" fillId="0" borderId="26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55" borderId="26" xfId="0" applyNumberFormat="1" applyFont="1" applyFill="1" applyBorder="1" applyAlignment="1">
      <alignment/>
    </xf>
    <xf numFmtId="15" fontId="9" fillId="0" borderId="28" xfId="0" applyNumberFormat="1" applyFont="1" applyBorder="1" applyAlignment="1">
      <alignment horizontal="center"/>
    </xf>
    <xf numFmtId="15" fontId="9" fillId="0" borderId="26" xfId="0" applyNumberFormat="1" applyFont="1" applyBorder="1" applyAlignment="1">
      <alignment horizontal="center" wrapText="1"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0" fontId="9" fillId="55" borderId="0" xfId="0" applyFont="1" applyFill="1" applyAlignment="1">
      <alignment/>
    </xf>
    <xf numFmtId="15" fontId="9" fillId="0" borderId="33" xfId="0" applyNumberFormat="1" applyFont="1" applyBorder="1" applyAlignment="1">
      <alignment horizontal="center"/>
    </xf>
    <xf numFmtId="15" fontId="9" fillId="0" borderId="34" xfId="0" applyNumberFormat="1" applyFont="1" applyBorder="1" applyAlignment="1">
      <alignment horizontal="center" wrapText="1"/>
    </xf>
    <xf numFmtId="15" fontId="9" fillId="0" borderId="35" xfId="0" applyNumberFormat="1" applyFont="1" applyBorder="1" applyAlignment="1">
      <alignment horizontal="center"/>
    </xf>
    <xf numFmtId="15" fontId="9" fillId="0" borderId="36" xfId="0" applyNumberFormat="1" applyFont="1" applyBorder="1" applyAlignment="1">
      <alignment horizontal="center"/>
    </xf>
    <xf numFmtId="15" fontId="9" fillId="0" borderId="36" xfId="0" applyNumberFormat="1" applyFont="1" applyBorder="1" applyAlignment="1">
      <alignment horizontal="center" wrapText="1"/>
    </xf>
    <xf numFmtId="15" fontId="9" fillId="0" borderId="35" xfId="0" applyNumberFormat="1" applyFont="1" applyBorder="1" applyAlignment="1">
      <alignment horizontal="center" wrapText="1"/>
    </xf>
    <xf numFmtId="15" fontId="11" fillId="0" borderId="33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8" fillId="0" borderId="0" xfId="0" applyFont="1" applyAlignment="1" quotePrefix="1">
      <alignment horizontal="center"/>
    </xf>
    <xf numFmtId="4" fontId="9" fillId="0" borderId="0" xfId="0" applyNumberFormat="1" applyFont="1" applyAlignment="1">
      <alignment/>
    </xf>
    <xf numFmtId="4" fontId="8" fillId="0" borderId="37" xfId="0" applyNumberFormat="1" applyFont="1" applyBorder="1" applyAlignment="1">
      <alignment/>
    </xf>
    <xf numFmtId="4" fontId="8" fillId="0" borderId="38" xfId="0" applyNumberFormat="1" applyFont="1" applyBorder="1" applyAlignment="1">
      <alignment/>
    </xf>
    <xf numFmtId="4" fontId="9" fillId="0" borderId="38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8" fillId="0" borderId="21" xfId="0" applyNumberFormat="1" applyFont="1" applyBorder="1" applyAlignment="1" quotePrefix="1">
      <alignment horizontal="right"/>
    </xf>
    <xf numFmtId="4" fontId="8" fillId="0" borderId="32" xfId="0" applyNumberFormat="1" applyFont="1" applyBorder="1" applyAlignment="1" quotePrefix="1">
      <alignment horizontal="right"/>
    </xf>
    <xf numFmtId="4" fontId="8" fillId="0" borderId="20" xfId="0" applyNumberFormat="1" applyFont="1" applyBorder="1" applyAlignment="1" quotePrefix="1">
      <alignment horizontal="right"/>
    </xf>
    <xf numFmtId="4" fontId="8" fillId="55" borderId="0" xfId="0" applyNumberFormat="1" applyFont="1" applyFill="1" applyAlignment="1">
      <alignment/>
    </xf>
    <xf numFmtId="179" fontId="0" fillId="0" borderId="0" xfId="69" applyNumberFormat="1" applyFont="1" applyAlignment="1">
      <alignment horizontal="center"/>
    </xf>
    <xf numFmtId="179" fontId="1" fillId="0" borderId="0" xfId="69" applyNumberFormat="1" applyFont="1" applyAlignment="1">
      <alignment horizontal="center"/>
    </xf>
    <xf numFmtId="179" fontId="0" fillId="9" borderId="0" xfId="69" applyNumberFormat="1" applyFont="1" applyFill="1" applyAlignment="1">
      <alignment horizontal="center"/>
    </xf>
    <xf numFmtId="0" fontId="13" fillId="0" borderId="0" xfId="0" applyFont="1" applyAlignment="1">
      <alignment/>
    </xf>
    <xf numFmtId="179" fontId="13" fillId="0" borderId="0" xfId="69" applyNumberFormat="1" applyFont="1" applyAlignment="1">
      <alignment horizontal="center"/>
    </xf>
    <xf numFmtId="179" fontId="13" fillId="9" borderId="0" xfId="69" applyNumberFormat="1" applyFont="1" applyFill="1" applyAlignment="1">
      <alignment horizontal="center"/>
    </xf>
    <xf numFmtId="184" fontId="0" fillId="0" borderId="0" xfId="69" applyNumberFormat="1" applyFont="1" applyAlignment="1">
      <alignment/>
    </xf>
    <xf numFmtId="179" fontId="0" fillId="7" borderId="39" xfId="69" applyNumberFormat="1" applyFont="1" applyFill="1" applyBorder="1" applyAlignment="1">
      <alignment/>
    </xf>
    <xf numFmtId="0" fontId="0" fillId="0" borderId="40" xfId="0" applyBorder="1" applyAlignment="1">
      <alignment/>
    </xf>
    <xf numFmtId="179" fontId="0" fillId="0" borderId="0" xfId="69" applyNumberFormat="1" applyFont="1" applyAlignment="1">
      <alignment/>
    </xf>
    <xf numFmtId="179" fontId="0" fillId="7" borderId="0" xfId="69" applyNumberFormat="1" applyFont="1" applyFill="1" applyAlignment="1">
      <alignment/>
    </xf>
    <xf numFmtId="0" fontId="0" fillId="0" borderId="31" xfId="0" applyBorder="1" applyAlignment="1">
      <alignment/>
    </xf>
    <xf numFmtId="179" fontId="0" fillId="0" borderId="22" xfId="69" applyNumberFormat="1" applyFont="1" applyBorder="1" applyAlignment="1">
      <alignment/>
    </xf>
    <xf numFmtId="179" fontId="0" fillId="0" borderId="41" xfId="69" applyNumberFormat="1" applyFont="1" applyBorder="1" applyAlignment="1">
      <alignment/>
    </xf>
    <xf numFmtId="179" fontId="0" fillId="0" borderId="23" xfId="69" applyNumberFormat="1" applyFont="1" applyBorder="1" applyAlignment="1">
      <alignment/>
    </xf>
    <xf numFmtId="179" fontId="0" fillId="0" borderId="42" xfId="69" applyNumberFormat="1" applyFont="1" applyBorder="1" applyAlignment="1">
      <alignment/>
    </xf>
    <xf numFmtId="0" fontId="0" fillId="0" borderId="43" xfId="0" applyBorder="1" applyAlignment="1">
      <alignment/>
    </xf>
    <xf numFmtId="179" fontId="1" fillId="0" borderId="0" xfId="69" applyNumberFormat="1" applyFont="1" applyAlignment="1">
      <alignment/>
    </xf>
    <xf numFmtId="179" fontId="13" fillId="7" borderId="0" xfId="69" applyNumberFormat="1" applyFont="1" applyFill="1" applyAlignment="1">
      <alignment/>
    </xf>
    <xf numFmtId="179" fontId="13" fillId="0" borderId="0" xfId="69" applyNumberFormat="1" applyFont="1" applyAlignment="1">
      <alignment/>
    </xf>
    <xf numFmtId="179" fontId="0" fillId="0" borderId="0" xfId="69" applyNumberFormat="1" applyFont="1" applyAlignment="1">
      <alignment/>
    </xf>
    <xf numFmtId="179" fontId="0" fillId="56" borderId="0" xfId="69" applyNumberFormat="1" applyFont="1" applyFill="1" applyAlignment="1">
      <alignment horizontal="center"/>
    </xf>
    <xf numFmtId="179" fontId="0" fillId="37" borderId="0" xfId="69" applyNumberFormat="1" applyFont="1" applyFill="1" applyAlignment="1">
      <alignment horizontal="center"/>
    </xf>
    <xf numFmtId="179" fontId="10" fillId="0" borderId="19" xfId="69" applyNumberFormat="1" applyFont="1" applyBorder="1" applyAlignment="1">
      <alignment horizontal="center"/>
    </xf>
    <xf numFmtId="179" fontId="1" fillId="0" borderId="19" xfId="69" applyNumberFormat="1" applyFont="1" applyBorder="1" applyAlignment="1">
      <alignment horizontal="center"/>
    </xf>
    <xf numFmtId="179" fontId="0" fillId="0" borderId="39" xfId="69" applyNumberFormat="1" applyFont="1" applyBorder="1" applyAlignment="1">
      <alignment/>
    </xf>
    <xf numFmtId="0" fontId="14" fillId="0" borderId="0" xfId="0" applyFont="1" applyAlignment="1">
      <alignment/>
    </xf>
    <xf numFmtId="179" fontId="14" fillId="0" borderId="0" xfId="69" applyNumberFormat="1" applyFont="1" applyAlignment="1">
      <alignment/>
    </xf>
    <xf numFmtId="0" fontId="14" fillId="0" borderId="31" xfId="0" applyFont="1" applyBorder="1" applyAlignment="1">
      <alignment/>
    </xf>
    <xf numFmtId="179" fontId="0" fillId="0" borderId="42" xfId="69" applyNumberFormat="1" applyFont="1" applyBorder="1" applyAlignment="1">
      <alignment horizontal="center"/>
    </xf>
    <xf numFmtId="179" fontId="0" fillId="7" borderId="42" xfId="69" applyNumberFormat="1" applyFont="1" applyFill="1" applyBorder="1" applyAlignment="1">
      <alignment horizontal="center"/>
    </xf>
    <xf numFmtId="17" fontId="0" fillId="55" borderId="0" xfId="0" applyNumberFormat="1" applyFill="1" applyAlignment="1" quotePrefix="1">
      <alignment/>
    </xf>
    <xf numFmtId="0" fontId="8" fillId="55" borderId="0" xfId="0" applyFont="1" applyFill="1" applyAlignment="1">
      <alignment/>
    </xf>
    <xf numFmtId="171" fontId="0" fillId="0" borderId="0" xfId="69" applyFont="1" applyAlignment="1">
      <alignment/>
    </xf>
    <xf numFmtId="171" fontId="0" fillId="0" borderId="21" xfId="69" applyFont="1" applyBorder="1" applyAlignment="1">
      <alignment/>
    </xf>
    <xf numFmtId="171" fontId="1" fillId="0" borderId="21" xfId="69" applyFont="1" applyBorder="1" applyAlignment="1">
      <alignment/>
    </xf>
    <xf numFmtId="171" fontId="0" fillId="0" borderId="20" xfId="69" applyFont="1" applyBorder="1" applyAlignment="1">
      <alignment/>
    </xf>
    <xf numFmtId="171" fontId="0" fillId="7" borderId="0" xfId="69" applyFont="1" applyFill="1" applyAlignment="1">
      <alignment/>
    </xf>
    <xf numFmtId="171" fontId="0" fillId="46" borderId="0" xfId="69" applyFont="1" applyFill="1" applyAlignment="1">
      <alignment/>
    </xf>
    <xf numFmtId="171" fontId="0" fillId="0" borderId="22" xfId="69" applyFont="1" applyBorder="1" applyAlignment="1">
      <alignment/>
    </xf>
    <xf numFmtId="171" fontId="0" fillId="0" borderId="22" xfId="69" applyBorder="1" applyAlignment="1">
      <alignment/>
    </xf>
    <xf numFmtId="171" fontId="0" fillId="0" borderId="23" xfId="69" applyFont="1" applyBorder="1" applyAlignment="1">
      <alignment/>
    </xf>
    <xf numFmtId="171" fontId="1" fillId="56" borderId="19" xfId="69" applyFont="1" applyFill="1" applyBorder="1" applyAlignment="1">
      <alignment/>
    </xf>
    <xf numFmtId="171" fontId="1" fillId="0" borderId="19" xfId="69" applyFont="1" applyBorder="1" applyAlignment="1">
      <alignment/>
    </xf>
    <xf numFmtId="171" fontId="0" fillId="5" borderId="22" xfId="69" applyFont="1" applyFill="1" applyBorder="1" applyAlignment="1">
      <alignment/>
    </xf>
    <xf numFmtId="171" fontId="0" fillId="5" borderId="0" xfId="69" applyFont="1" applyFill="1" applyAlignment="1">
      <alignment/>
    </xf>
    <xf numFmtId="171" fontId="0" fillId="0" borderId="41" xfId="69" applyFont="1" applyBorder="1" applyAlignment="1">
      <alignment/>
    </xf>
    <xf numFmtId="171" fontId="1" fillId="56" borderId="25" xfId="69" applyFont="1" applyFill="1" applyBorder="1" applyAlignment="1">
      <alignment/>
    </xf>
    <xf numFmtId="179" fontId="0" fillId="55" borderId="42" xfId="69" applyNumberFormat="1" applyFont="1" applyFill="1" applyBorder="1" applyAlignment="1">
      <alignment horizontal="center"/>
    </xf>
    <xf numFmtId="171" fontId="0" fillId="0" borderId="0" xfId="69" applyFont="1" applyAlignment="1">
      <alignment/>
    </xf>
    <xf numFmtId="0" fontId="17" fillId="0" borderId="0" xfId="0" applyFont="1" applyAlignment="1">
      <alignment/>
    </xf>
    <xf numFmtId="0" fontId="7" fillId="0" borderId="27" xfId="0" applyFont="1" applyBorder="1" applyAlignment="1" quotePrefix="1">
      <alignment horizontal="center"/>
    </xf>
    <xf numFmtId="0" fontId="7" fillId="0" borderId="27" xfId="0" applyFont="1" applyBorder="1" applyAlignment="1">
      <alignment horizontal="center"/>
    </xf>
    <xf numFmtId="0" fontId="9" fillId="0" borderId="0" xfId="0" applyFont="1" applyAlignment="1">
      <alignment/>
    </xf>
    <xf numFmtId="179" fontId="8" fillId="0" borderId="0" xfId="69" applyNumberFormat="1" applyFont="1" applyAlignment="1">
      <alignment horizontal="center"/>
    </xf>
    <xf numFmtId="14" fontId="9" fillId="0" borderId="0" xfId="69" applyNumberFormat="1" applyFont="1" applyAlignment="1">
      <alignment horizontal="center"/>
    </xf>
    <xf numFmtId="179" fontId="9" fillId="0" borderId="0" xfId="69" applyNumberFormat="1" applyFont="1" applyAlignment="1">
      <alignment horizontal="center"/>
    </xf>
    <xf numFmtId="1" fontId="8" fillId="0" borderId="0" xfId="0" applyNumberFormat="1" applyFont="1" applyAlignment="1">
      <alignment/>
    </xf>
    <xf numFmtId="179" fontId="8" fillId="9" borderId="0" xfId="69" applyNumberFormat="1" applyFont="1" applyFill="1" applyAlignment="1">
      <alignment horizontal="center"/>
    </xf>
    <xf numFmtId="0" fontId="18" fillId="0" borderId="0" xfId="0" applyFont="1" applyAlignment="1">
      <alignment/>
    </xf>
    <xf numFmtId="179" fontId="18" fillId="0" borderId="0" xfId="69" applyNumberFormat="1" applyFont="1" applyAlignment="1">
      <alignment horizontal="center"/>
    </xf>
    <xf numFmtId="179" fontId="18" fillId="9" borderId="0" xfId="69" applyNumberFormat="1" applyFont="1" applyFill="1" applyAlignment="1">
      <alignment horizontal="center"/>
    </xf>
    <xf numFmtId="184" fontId="8" fillId="0" borderId="0" xfId="69" applyNumberFormat="1" applyFont="1" applyAlignment="1">
      <alignment/>
    </xf>
    <xf numFmtId="179" fontId="8" fillId="7" borderId="39" xfId="69" applyNumberFormat="1" applyFont="1" applyFill="1" applyBorder="1" applyAlignment="1">
      <alignment/>
    </xf>
    <xf numFmtId="0" fontId="8" fillId="0" borderId="40" xfId="0" applyFont="1" applyBorder="1" applyAlignment="1">
      <alignment/>
    </xf>
    <xf numFmtId="179" fontId="8" fillId="0" borderId="0" xfId="69" applyNumberFormat="1" applyFont="1" applyAlignment="1">
      <alignment/>
    </xf>
    <xf numFmtId="179" fontId="8" fillId="7" borderId="0" xfId="69" applyNumberFormat="1" applyFont="1" applyFill="1" applyAlignment="1">
      <alignment/>
    </xf>
    <xf numFmtId="179" fontId="8" fillId="0" borderId="22" xfId="69" applyNumberFormat="1" applyFont="1" applyBorder="1" applyAlignment="1">
      <alignment/>
    </xf>
    <xf numFmtId="179" fontId="8" fillId="0" borderId="41" xfId="69" applyNumberFormat="1" applyFont="1" applyBorder="1" applyAlignment="1">
      <alignment/>
    </xf>
    <xf numFmtId="179" fontId="8" fillId="0" borderId="23" xfId="69" applyNumberFormat="1" applyFont="1" applyBorder="1" applyAlignment="1">
      <alignment/>
    </xf>
    <xf numFmtId="179" fontId="8" fillId="0" borderId="42" xfId="69" applyNumberFormat="1" applyFont="1" applyBorder="1" applyAlignment="1">
      <alignment/>
    </xf>
    <xf numFmtId="0" fontId="8" fillId="0" borderId="43" xfId="0" applyFont="1" applyBorder="1" applyAlignment="1">
      <alignment/>
    </xf>
    <xf numFmtId="179" fontId="9" fillId="0" borderId="0" xfId="69" applyNumberFormat="1" applyFont="1" applyAlignment="1">
      <alignment/>
    </xf>
    <xf numFmtId="179" fontId="18" fillId="7" borderId="0" xfId="69" applyNumberFormat="1" applyFont="1" applyFill="1" applyAlignment="1">
      <alignment/>
    </xf>
    <xf numFmtId="179" fontId="18" fillId="0" borderId="0" xfId="69" applyNumberFormat="1" applyFont="1" applyAlignment="1">
      <alignment/>
    </xf>
    <xf numFmtId="179" fontId="8" fillId="56" borderId="0" xfId="69" applyNumberFormat="1" applyFont="1" applyFill="1" applyAlignment="1">
      <alignment horizontal="center"/>
    </xf>
    <xf numFmtId="179" fontId="8" fillId="37" borderId="0" xfId="69" applyNumberFormat="1" applyFont="1" applyFill="1" applyAlignment="1">
      <alignment horizontal="center"/>
    </xf>
    <xf numFmtId="179" fontId="9" fillId="0" borderId="19" xfId="69" applyNumberFormat="1" applyFont="1" applyBorder="1" applyAlignment="1">
      <alignment horizontal="center"/>
    </xf>
    <xf numFmtId="179" fontId="8" fillId="0" borderId="39" xfId="69" applyNumberFormat="1" applyFont="1" applyBorder="1" applyAlignment="1">
      <alignment/>
    </xf>
    <xf numFmtId="0" fontId="19" fillId="0" borderId="0" xfId="0" applyFont="1" applyAlignment="1">
      <alignment/>
    </xf>
    <xf numFmtId="179" fontId="19" fillId="0" borderId="0" xfId="69" applyNumberFormat="1" applyFont="1" applyAlignment="1">
      <alignment/>
    </xf>
    <xf numFmtId="0" fontId="19" fillId="0" borderId="31" xfId="0" applyFont="1" applyBorder="1" applyAlignment="1">
      <alignment/>
    </xf>
    <xf numFmtId="179" fontId="8" fillId="0" borderId="40" xfId="69" applyNumberFormat="1" applyFont="1" applyBorder="1" applyAlignment="1">
      <alignment/>
    </xf>
    <xf numFmtId="179" fontId="8" fillId="0" borderId="31" xfId="69" applyNumberFormat="1" applyFont="1" applyBorder="1" applyAlignment="1">
      <alignment/>
    </xf>
    <xf numFmtId="179" fontId="8" fillId="0" borderId="43" xfId="69" applyNumberFormat="1" applyFont="1" applyBorder="1" applyAlignment="1">
      <alignment/>
    </xf>
    <xf numFmtId="179" fontId="19" fillId="19" borderId="0" xfId="69" applyNumberFormat="1" applyFont="1" applyFill="1" applyAlignment="1">
      <alignment/>
    </xf>
    <xf numFmtId="179" fontId="8" fillId="0" borderId="42" xfId="69" applyNumberFormat="1" applyFont="1" applyBorder="1" applyAlignment="1">
      <alignment horizontal="center"/>
    </xf>
    <xf numFmtId="179" fontId="8" fillId="7" borderId="42" xfId="69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171" fontId="1" fillId="0" borderId="20" xfId="69" applyFont="1" applyBorder="1" applyAlignment="1">
      <alignment horizontal="center"/>
    </xf>
    <xf numFmtId="181" fontId="0" fillId="0" borderId="0" xfId="69" applyNumberFormat="1" applyAlignment="1">
      <alignment/>
    </xf>
    <xf numFmtId="3" fontId="0" fillId="0" borderId="0" xfId="69" applyNumberFormat="1" applyAlignment="1">
      <alignment/>
    </xf>
    <xf numFmtId="3" fontId="0" fillId="0" borderId="0" xfId="69" applyNumberFormat="1" applyFont="1" applyAlignment="1">
      <alignment/>
    </xf>
    <xf numFmtId="3" fontId="0" fillId="0" borderId="0" xfId="0" applyNumberFormat="1" applyFont="1" applyAlignment="1">
      <alignment/>
    </xf>
    <xf numFmtId="15" fontId="9" fillId="0" borderId="23" xfId="69" applyNumberFormat="1" applyFont="1" applyBorder="1" applyAlignment="1">
      <alignment horizontal="center"/>
    </xf>
    <xf numFmtId="187" fontId="9" fillId="0" borderId="23" xfId="0" applyNumberFormat="1" applyFont="1" applyBorder="1" applyAlignment="1">
      <alignment horizontal="center"/>
    </xf>
    <xf numFmtId="17" fontId="9" fillId="0" borderId="23" xfId="0" applyNumberFormat="1" applyFont="1" applyBorder="1" applyAlignment="1" quotePrefix="1">
      <alignment horizontal="center"/>
    </xf>
    <xf numFmtId="17" fontId="9" fillId="0" borderId="23" xfId="0" applyNumberFormat="1" applyFont="1" applyBorder="1" applyAlignment="1">
      <alignment horizontal="center"/>
    </xf>
    <xf numFmtId="181" fontId="9" fillId="0" borderId="0" xfId="69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181" fontId="8" fillId="0" borderId="0" xfId="69" applyNumberFormat="1" applyFont="1" applyAlignment="1">
      <alignment horizontal="center"/>
    </xf>
    <xf numFmtId="181" fontId="8" fillId="0" borderId="0" xfId="69" applyNumberFormat="1" applyFont="1" applyAlignment="1">
      <alignment horizontal="left"/>
    </xf>
    <xf numFmtId="181" fontId="9" fillId="0" borderId="19" xfId="69" applyNumberFormat="1" applyFont="1" applyBorder="1" applyAlignment="1">
      <alignment horizontal="center"/>
    </xf>
    <xf numFmtId="181" fontId="0" fillId="0" borderId="0" xfId="0" applyNumberFormat="1" applyFont="1" applyAlignment="1">
      <alignment/>
    </xf>
    <xf numFmtId="14" fontId="9" fillId="0" borderId="0" xfId="69" applyNumberFormat="1" applyFont="1" applyAlignment="1">
      <alignment horizontal="center"/>
    </xf>
    <xf numFmtId="179" fontId="19" fillId="27" borderId="0" xfId="69" applyNumberFormat="1" applyFont="1" applyFill="1" applyAlignment="1">
      <alignment/>
    </xf>
    <xf numFmtId="0" fontId="20" fillId="0" borderId="0" xfId="0" applyFont="1" applyAlignment="1">
      <alignment/>
    </xf>
    <xf numFmtId="171" fontId="21" fillId="0" borderId="0" xfId="69" applyFont="1" applyAlignment="1">
      <alignment horizontal="center"/>
    </xf>
    <xf numFmtId="171" fontId="20" fillId="0" borderId="0" xfId="69" applyFont="1" applyAlignment="1">
      <alignment/>
    </xf>
    <xf numFmtId="15" fontId="21" fillId="0" borderId="0" xfId="69" applyNumberFormat="1" applyFont="1" applyAlignment="1">
      <alignment horizontal="center"/>
    </xf>
    <xf numFmtId="171" fontId="20" fillId="55" borderId="0" xfId="0" applyNumberFormat="1" applyFont="1" applyFill="1" applyAlignment="1">
      <alignment/>
    </xf>
    <xf numFmtId="171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5" fontId="20" fillId="0" borderId="0" xfId="0" applyNumberFormat="1" applyFont="1" applyAlignment="1">
      <alignment/>
    </xf>
    <xf numFmtId="0" fontId="20" fillId="0" borderId="0" xfId="0" applyFont="1" applyAlignment="1" quotePrefix="1">
      <alignment/>
    </xf>
    <xf numFmtId="0" fontId="21" fillId="0" borderId="0" xfId="0" applyFont="1" applyAlignment="1">
      <alignment/>
    </xf>
    <xf numFmtId="0" fontId="1" fillId="57" borderId="0" xfId="0" applyFont="1" applyFill="1" applyAlignment="1">
      <alignment/>
    </xf>
    <xf numFmtId="0" fontId="1" fillId="58" borderId="0" xfId="0" applyFont="1" applyFill="1" applyAlignment="1">
      <alignment/>
    </xf>
    <xf numFmtId="4" fontId="1" fillId="57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68" fillId="0" borderId="0" xfId="113">
      <alignment/>
      <protection/>
    </xf>
    <xf numFmtId="0" fontId="82" fillId="0" borderId="0" xfId="113" applyFont="1">
      <alignment/>
      <protection/>
    </xf>
    <xf numFmtId="10" fontId="68" fillId="0" borderId="0" xfId="113" applyNumberFormat="1" applyAlignment="1">
      <alignment horizontal="center"/>
      <protection/>
    </xf>
    <xf numFmtId="9" fontId="68" fillId="0" borderId="0" xfId="113" applyNumberFormat="1" applyAlignment="1">
      <alignment horizontal="center"/>
      <protection/>
    </xf>
    <xf numFmtId="179" fontId="82" fillId="0" borderId="27" xfId="113" applyNumberFormat="1" applyFont="1" applyBorder="1">
      <alignment/>
      <protection/>
    </xf>
    <xf numFmtId="0" fontId="82" fillId="0" borderId="0" xfId="113" applyFont="1" applyAlignment="1">
      <alignment horizontal="center"/>
      <protection/>
    </xf>
    <xf numFmtId="179" fontId="68" fillId="0" borderId="0" xfId="113" applyNumberFormat="1">
      <alignment/>
      <protection/>
    </xf>
    <xf numFmtId="0" fontId="82" fillId="59" borderId="25" xfId="113" applyFont="1" applyFill="1" applyBorder="1" applyAlignment="1">
      <alignment horizontal="center" vertical="center" wrapText="1"/>
      <protection/>
    </xf>
    <xf numFmtId="179" fontId="82" fillId="59" borderId="25" xfId="71" applyFont="1" applyFill="1" applyBorder="1" applyAlignment="1">
      <alignment horizontal="center" vertical="center" wrapText="1"/>
    </xf>
    <xf numFmtId="181" fontId="0" fillId="0" borderId="0" xfId="69" applyNumberFormat="1" applyFont="1" applyAlignment="1">
      <alignment/>
    </xf>
    <xf numFmtId="0" fontId="17" fillId="0" borderId="44" xfId="0" applyFont="1" applyBorder="1" applyAlignment="1">
      <alignment/>
    </xf>
    <xf numFmtId="0" fontId="1" fillId="0" borderId="25" xfId="0" applyFont="1" applyBorder="1" applyAlignment="1">
      <alignment horizontal="center"/>
    </xf>
    <xf numFmtId="181" fontId="21" fillId="0" borderId="0" xfId="69" applyNumberFormat="1" applyFont="1" applyAlignment="1">
      <alignment horizontal="center"/>
    </xf>
    <xf numFmtId="14" fontId="21" fillId="0" borderId="25" xfId="69" applyNumberFormat="1" applyFont="1" applyBorder="1" applyAlignment="1">
      <alignment horizontal="center"/>
    </xf>
    <xf numFmtId="3" fontId="20" fillId="0" borderId="32" xfId="0" applyNumberFormat="1" applyFont="1" applyBorder="1" applyAlignment="1">
      <alignment/>
    </xf>
    <xf numFmtId="3" fontId="21" fillId="0" borderId="45" xfId="69" applyNumberFormat="1" applyFont="1" applyBorder="1" applyAlignment="1">
      <alignment/>
    </xf>
    <xf numFmtId="3" fontId="21" fillId="0" borderId="32" xfId="69" applyNumberFormat="1" applyFont="1" applyBorder="1" applyAlignment="1">
      <alignment/>
    </xf>
    <xf numFmtId="181" fontId="20" fillId="0" borderId="32" xfId="69" applyNumberFormat="1" applyFont="1" applyBorder="1" applyAlignment="1">
      <alignment horizontal="center"/>
    </xf>
    <xf numFmtId="181" fontId="21" fillId="58" borderId="46" xfId="69" applyNumberFormat="1" applyFont="1" applyFill="1" applyBorder="1" applyAlignment="1">
      <alignment horizontal="center"/>
    </xf>
    <xf numFmtId="14" fontId="21" fillId="0" borderId="37" xfId="69" applyNumberFormat="1" applyFont="1" applyBorder="1" applyAlignment="1">
      <alignment horizontal="right" vertical="center"/>
    </xf>
    <xf numFmtId="3" fontId="20" fillId="58" borderId="47" xfId="69" applyNumberFormat="1" applyFont="1" applyFill="1" applyBorder="1" applyAlignment="1">
      <alignment horizontal="right" vertical="center"/>
    </xf>
    <xf numFmtId="181" fontId="21" fillId="0" borderId="48" xfId="69" applyNumberFormat="1" applyFont="1" applyBorder="1" applyAlignment="1">
      <alignment horizontal="right" vertical="center"/>
    </xf>
    <xf numFmtId="181" fontId="21" fillId="0" borderId="49" xfId="69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/>
    </xf>
    <xf numFmtId="181" fontId="0" fillId="0" borderId="0" xfId="77" applyNumberFormat="1" applyFont="1" applyAlignment="1">
      <alignment/>
    </xf>
    <xf numFmtId="181" fontId="0" fillId="0" borderId="0" xfId="77" applyNumberFormat="1" applyFont="1" applyAlignment="1">
      <alignment/>
    </xf>
    <xf numFmtId="179" fontId="0" fillId="0" borderId="0" xfId="0" applyNumberFormat="1" applyAlignment="1">
      <alignment/>
    </xf>
    <xf numFmtId="171" fontId="21" fillId="26" borderId="0" xfId="69" applyFont="1" applyFill="1" applyAlignment="1">
      <alignment horizontal="center"/>
    </xf>
    <xf numFmtId="15" fontId="21" fillId="26" borderId="0" xfId="69" applyNumberFormat="1" applyFont="1" applyFill="1" applyAlignment="1">
      <alignment horizontal="center"/>
    </xf>
    <xf numFmtId="181" fontId="1" fillId="0" borderId="50" xfId="69" applyNumberFormat="1" applyFont="1" applyBorder="1" applyAlignment="1">
      <alignment horizontal="center"/>
    </xf>
    <xf numFmtId="181" fontId="1" fillId="0" borderId="40" xfId="69" applyNumberFormat="1" applyFont="1" applyBorder="1" applyAlignment="1">
      <alignment horizontal="center"/>
    </xf>
    <xf numFmtId="15" fontId="1" fillId="0" borderId="51" xfId="69" applyNumberFormat="1" applyFont="1" applyBorder="1" applyAlignment="1">
      <alignment horizontal="center"/>
    </xf>
    <xf numFmtId="15" fontId="1" fillId="0" borderId="23" xfId="69" applyNumberFormat="1" applyFont="1" applyBorder="1" applyAlignment="1">
      <alignment horizontal="center"/>
    </xf>
    <xf numFmtId="181" fontId="20" fillId="0" borderId="38" xfId="69" applyNumberFormat="1" applyFont="1" applyBorder="1" applyAlignment="1">
      <alignment horizontal="right"/>
    </xf>
    <xf numFmtId="3" fontId="20" fillId="0" borderId="52" xfId="69" applyNumberFormat="1" applyFont="1" applyBorder="1" applyAlignment="1">
      <alignment horizontal="right"/>
    </xf>
    <xf numFmtId="181" fontId="21" fillId="0" borderId="53" xfId="69" applyNumberFormat="1" applyFont="1" applyBorder="1" applyAlignment="1">
      <alignment horizontal="right"/>
    </xf>
    <xf numFmtId="3" fontId="21" fillId="0" borderId="54" xfId="69" applyNumberFormat="1" applyFont="1" applyBorder="1" applyAlignment="1">
      <alignment horizontal="right"/>
    </xf>
    <xf numFmtId="0" fontId="21" fillId="58" borderId="0" xfId="0" applyFont="1" applyFill="1" applyAlignment="1">
      <alignment/>
    </xf>
    <xf numFmtId="3" fontId="1" fillId="0" borderId="55" xfId="69" applyNumberFormat="1" applyFont="1" applyBorder="1" applyAlignment="1">
      <alignment/>
    </xf>
    <xf numFmtId="181" fontId="0" fillId="0" borderId="42" xfId="69" applyNumberFormat="1" applyFont="1" applyBorder="1" applyAlignment="1">
      <alignment/>
    </xf>
    <xf numFmtId="3" fontId="0" fillId="0" borderId="42" xfId="69" applyNumberFormat="1" applyFont="1" applyBorder="1" applyAlignment="1">
      <alignment/>
    </xf>
    <xf numFmtId="3" fontId="20" fillId="0" borderId="38" xfId="69" applyNumberFormat="1" applyFont="1" applyBorder="1" applyAlignment="1">
      <alignment horizontal="right"/>
    </xf>
    <xf numFmtId="10" fontId="0" fillId="0" borderId="0" xfId="0" applyNumberFormat="1" applyAlignment="1">
      <alignment horizontal="center" vertical="center"/>
    </xf>
    <xf numFmtId="179" fontId="82" fillId="0" borderId="0" xfId="113" applyNumberFormat="1" applyFont="1">
      <alignment/>
      <protection/>
    </xf>
    <xf numFmtId="3" fontId="0" fillId="0" borderId="42" xfId="0" applyNumberFormat="1" applyBorder="1" applyAlignment="1">
      <alignment/>
    </xf>
    <xf numFmtId="178" fontId="0" fillId="0" borderId="0" xfId="0" applyNumberFormat="1" applyAlignment="1">
      <alignment/>
    </xf>
    <xf numFmtId="15" fontId="0" fillId="0" borderId="0" xfId="0" applyNumberFormat="1" applyAlignment="1">
      <alignment horizontal="center"/>
    </xf>
    <xf numFmtId="0" fontId="9" fillId="58" borderId="0" xfId="0" applyFont="1" applyFill="1" applyAlignment="1">
      <alignment horizontal="center" vertical="center"/>
    </xf>
    <xf numFmtId="3" fontId="0" fillId="0" borderId="0" xfId="72" applyNumberFormat="1" applyFont="1" applyAlignment="1">
      <alignment/>
    </xf>
    <xf numFmtId="171" fontId="20" fillId="60" borderId="0" xfId="0" applyNumberFormat="1" applyFont="1" applyFill="1" applyAlignment="1">
      <alignment/>
    </xf>
    <xf numFmtId="0" fontId="83" fillId="0" borderId="0" xfId="0" applyFont="1" applyAlignment="1">
      <alignment/>
    </xf>
    <xf numFmtId="181" fontId="0" fillId="0" borderId="0" xfId="72" applyNumberForma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9" fillId="0" borderId="44" xfId="0" applyNumberFormat="1" applyFont="1" applyBorder="1" applyAlignment="1">
      <alignment/>
    </xf>
    <xf numFmtId="171" fontId="0" fillId="0" borderId="44" xfId="69" applyFont="1" applyBorder="1" applyAlignment="1">
      <alignment/>
    </xf>
    <xf numFmtId="15" fontId="1" fillId="0" borderId="0" xfId="69" applyNumberFormat="1" applyFont="1" applyAlignment="1">
      <alignment/>
    </xf>
    <xf numFmtId="3" fontId="0" fillId="0" borderId="0" xfId="72" applyNumberFormat="1" applyAlignment="1">
      <alignment/>
    </xf>
    <xf numFmtId="3" fontId="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181" fontId="0" fillId="0" borderId="42" xfId="72" applyNumberFormat="1" applyFont="1" applyBorder="1" applyAlignment="1">
      <alignment/>
    </xf>
    <xf numFmtId="4" fontId="8" fillId="0" borderId="0" xfId="0" applyNumberFormat="1" applyFont="1" applyAlignment="1">
      <alignment horizontal="center"/>
    </xf>
    <xf numFmtId="4" fontId="0" fillId="0" borderId="42" xfId="0" applyNumberFormat="1" applyBorder="1" applyAlignment="1">
      <alignment/>
    </xf>
    <xf numFmtId="181" fontId="0" fillId="0" borderId="0" xfId="71" applyNumberFormat="1" applyFont="1" applyAlignment="1">
      <alignment/>
    </xf>
    <xf numFmtId="0" fontId="0" fillId="58" borderId="0" xfId="0" applyFill="1" applyAlignment="1">
      <alignment/>
    </xf>
    <xf numFmtId="4" fontId="1" fillId="58" borderId="0" xfId="0" applyNumberFormat="1" applyFont="1" applyFill="1" applyAlignment="1">
      <alignment/>
    </xf>
    <xf numFmtId="4" fontId="0" fillId="58" borderId="0" xfId="0" applyNumberFormat="1" applyFill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1" fillId="0" borderId="0" xfId="0" applyFont="1" applyAlignment="1">
      <alignment/>
    </xf>
    <xf numFmtId="15" fontId="85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84" fillId="58" borderId="22" xfId="0" applyFont="1" applyFill="1" applyBorder="1" applyAlignment="1">
      <alignment horizontal="center" vertical="center"/>
    </xf>
    <xf numFmtId="15" fontId="84" fillId="58" borderId="23" xfId="0" applyNumberFormat="1" applyFont="1" applyFill="1" applyBorder="1" applyAlignment="1">
      <alignment horizontal="center" vertical="center"/>
    </xf>
    <xf numFmtId="0" fontId="84" fillId="58" borderId="23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84" fillId="58" borderId="50" xfId="0" applyFont="1" applyFill="1" applyBorder="1" applyAlignment="1">
      <alignment horizontal="center" vertical="center"/>
    </xf>
    <xf numFmtId="15" fontId="84" fillId="58" borderId="51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1" fontId="20" fillId="60" borderId="56" xfId="0" applyNumberFormat="1" applyFont="1" applyFill="1" applyBorder="1" applyAlignment="1">
      <alignment/>
    </xf>
    <xf numFmtId="0" fontId="20" fillId="0" borderId="56" xfId="0" applyFont="1" applyBorder="1" applyAlignment="1">
      <alignment/>
    </xf>
    <xf numFmtId="171" fontId="0" fillId="0" borderId="5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1" fontId="20" fillId="0" borderId="57" xfId="0" applyNumberFormat="1" applyFont="1" applyBorder="1" applyAlignment="1">
      <alignment/>
    </xf>
    <xf numFmtId="4" fontId="20" fillId="0" borderId="19" xfId="0" applyNumberFormat="1" applyFont="1" applyBorder="1" applyAlignment="1">
      <alignment/>
    </xf>
    <xf numFmtId="4" fontId="0" fillId="0" borderId="58" xfId="0" applyNumberFormat="1" applyBorder="1" applyAlignment="1">
      <alignment horizontal="center" vertical="center"/>
    </xf>
    <xf numFmtId="4" fontId="86" fillId="4" borderId="19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79" fontId="0" fillId="0" borderId="27" xfId="0" applyNumberFormat="1" applyBorder="1" applyAlignment="1">
      <alignment/>
    </xf>
    <xf numFmtId="171" fontId="8" fillId="0" borderId="0" xfId="69" applyFont="1" applyAlignment="1">
      <alignment/>
    </xf>
    <xf numFmtId="4" fontId="87" fillId="4" borderId="19" xfId="0" applyNumberFormat="1" applyFont="1" applyFill="1" applyBorder="1" applyAlignment="1">
      <alignment/>
    </xf>
    <xf numFmtId="3" fontId="20" fillId="12" borderId="52" xfId="69" applyNumberFormat="1" applyFont="1" applyFill="1" applyBorder="1" applyAlignment="1">
      <alignment horizontal="right"/>
    </xf>
    <xf numFmtId="0" fontId="1" fillId="58" borderId="0" xfId="0" applyFont="1" applyFill="1" applyAlignment="1">
      <alignment horizontal="center" vertical="center"/>
    </xf>
    <xf numFmtId="4" fontId="86" fillId="4" borderId="39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9" fontId="0" fillId="0" borderId="0" xfId="69" applyNumberFormat="1" applyFont="1" applyAlignment="1">
      <alignment/>
    </xf>
    <xf numFmtId="171" fontId="0" fillId="0" borderId="0" xfId="0" applyNumberFormat="1" applyFont="1" applyAlignment="1">
      <alignment/>
    </xf>
    <xf numFmtId="0" fontId="8" fillId="0" borderId="56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1" fontId="61" fillId="0" borderId="27" xfId="113" applyNumberFormat="1" applyFont="1" applyBorder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27" xfId="113" applyNumberFormat="1" applyFont="1" applyBorder="1">
      <alignment/>
      <protection/>
    </xf>
    <xf numFmtId="0" fontId="61" fillId="0" borderId="27" xfId="113" applyFont="1" applyBorder="1">
      <alignment/>
      <protection/>
    </xf>
    <xf numFmtId="43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 quotePrefix="1">
      <alignment/>
    </xf>
    <xf numFmtId="0" fontId="61" fillId="58" borderId="27" xfId="113" applyFont="1" applyFill="1" applyBorder="1">
      <alignment/>
      <protection/>
    </xf>
    <xf numFmtId="1" fontId="61" fillId="58" borderId="27" xfId="113" applyNumberFormat="1" applyFont="1" applyFill="1" applyBorder="1">
      <alignment/>
      <protection/>
    </xf>
    <xf numFmtId="4" fontId="86" fillId="10" borderId="0" xfId="0" applyNumberFormat="1" applyFont="1" applyFill="1" applyAlignment="1">
      <alignment/>
    </xf>
    <xf numFmtId="171" fontId="0" fillId="0" borderId="0" xfId="69" applyFont="1" applyBorder="1" applyAlignment="1">
      <alignment/>
    </xf>
    <xf numFmtId="3" fontId="9" fillId="0" borderId="0" xfId="0" applyNumberFormat="1" applyFont="1" applyBorder="1" applyAlignment="1">
      <alignment/>
    </xf>
    <xf numFmtId="15" fontId="1" fillId="0" borderId="0" xfId="69" applyNumberFormat="1" applyFont="1" applyBorder="1" applyAlignment="1">
      <alignment/>
    </xf>
    <xf numFmtId="4" fontId="0" fillId="0" borderId="0" xfId="71" applyNumberFormat="1" applyFont="1" applyAlignment="1">
      <alignment/>
    </xf>
    <xf numFmtId="4" fontId="0" fillId="0" borderId="0" xfId="77" applyNumberFormat="1" applyFont="1" applyAlignment="1">
      <alignment/>
    </xf>
    <xf numFmtId="4" fontId="0" fillId="0" borderId="0" xfId="72" applyNumberFormat="1" applyAlignment="1">
      <alignment/>
    </xf>
    <xf numFmtId="4" fontId="0" fillId="0" borderId="0" xfId="69" applyNumberFormat="1" applyFont="1" applyAlignment="1">
      <alignment/>
    </xf>
    <xf numFmtId="4" fontId="0" fillId="0" borderId="0" xfId="72" applyNumberFormat="1" applyFont="1" applyAlignment="1">
      <alignment/>
    </xf>
    <xf numFmtId="4" fontId="0" fillId="0" borderId="0" xfId="69" applyNumberFormat="1" applyAlignment="1">
      <alignment/>
    </xf>
    <xf numFmtId="4" fontId="0" fillId="0" borderId="0" xfId="77" applyNumberFormat="1" applyFont="1" applyAlignment="1">
      <alignment/>
    </xf>
    <xf numFmtId="4" fontId="0" fillId="0" borderId="42" xfId="72" applyNumberFormat="1" applyFont="1" applyBorder="1" applyAlignment="1">
      <alignment/>
    </xf>
    <xf numFmtId="4" fontId="0" fillId="0" borderId="42" xfId="69" applyNumberFormat="1" applyFont="1" applyBorder="1" applyAlignment="1">
      <alignment/>
    </xf>
    <xf numFmtId="207" fontId="0" fillId="0" borderId="0" xfId="0" applyNumberFormat="1" applyAlignment="1">
      <alignment/>
    </xf>
    <xf numFmtId="15" fontId="61" fillId="0" borderId="27" xfId="113" applyNumberFormat="1" applyFont="1" applyBorder="1" quotePrefix="1">
      <alignment/>
      <protection/>
    </xf>
    <xf numFmtId="0" fontId="0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4" fontId="1" fillId="0" borderId="60" xfId="69" applyNumberFormat="1" applyFont="1" applyBorder="1" applyAlignment="1">
      <alignment horizontal="center"/>
    </xf>
    <xf numFmtId="14" fontId="1" fillId="0" borderId="33" xfId="69" applyNumberFormat="1" applyFont="1" applyBorder="1" applyAlignment="1">
      <alignment horizontal="center"/>
    </xf>
    <xf numFmtId="0" fontId="0" fillId="0" borderId="6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14" fontId="1" fillId="0" borderId="61" xfId="69" applyNumberFormat="1" applyFont="1" applyBorder="1" applyAlignment="1">
      <alignment horizontal="center"/>
    </xf>
    <xf numFmtId="14" fontId="1" fillId="58" borderId="60" xfId="69" applyNumberFormat="1" applyFont="1" applyFill="1" applyBorder="1" applyAlignment="1">
      <alignment horizontal="center"/>
    </xf>
    <xf numFmtId="14" fontId="1" fillId="58" borderId="33" xfId="69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61" xfId="0" applyBorder="1" applyAlignment="1">
      <alignment horizontal="center"/>
    </xf>
    <xf numFmtId="0" fontId="20" fillId="0" borderId="0" xfId="0" applyFont="1" applyFill="1" applyAlignment="1">
      <alignment horizontal="left" vertical="center"/>
    </xf>
    <xf numFmtId="181" fontId="20" fillId="0" borderId="38" xfId="69" applyNumberFormat="1" applyFont="1" applyFill="1" applyBorder="1" applyAlignment="1">
      <alignment horizontal="right"/>
    </xf>
    <xf numFmtId="3" fontId="20" fillId="0" borderId="52" xfId="69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20" fillId="0" borderId="38" xfId="69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0" fontId="10" fillId="30" borderId="0" xfId="0" applyFont="1" applyFill="1" applyAlignment="1">
      <alignment horizontal="center"/>
    </xf>
  </cellXfs>
  <cellStyles count="12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2 2 2" xfId="73"/>
    <cellStyle name="Comma 2 3" xfId="74"/>
    <cellStyle name="Comma 2 4" xfId="75"/>
    <cellStyle name="Comma 2 5" xfId="76"/>
    <cellStyle name="Comma 3" xfId="77"/>
    <cellStyle name="Comma 3 2" xfId="78"/>
    <cellStyle name="Comma 3 2 2" xfId="79"/>
    <cellStyle name="Comma 3 3" xfId="80"/>
    <cellStyle name="Comma 3 4" xfId="81"/>
    <cellStyle name="Comma 3 5" xfId="82"/>
    <cellStyle name="Comma 4" xfId="83"/>
    <cellStyle name="Comma 4 2" xfId="84"/>
    <cellStyle name="Comma 5" xfId="85"/>
    <cellStyle name="Comma 6" xfId="86"/>
    <cellStyle name="Currency" xfId="87"/>
    <cellStyle name="Currency [0]" xfId="88"/>
    <cellStyle name="Currency 2" xfId="89"/>
    <cellStyle name="Currency 3" xfId="90"/>
    <cellStyle name="Explanatory Text" xfId="91"/>
    <cellStyle name="Explanatory Text 2" xfId="92"/>
    <cellStyle name="Followed Hyperlink" xfId="93"/>
    <cellStyle name="Good" xfId="94"/>
    <cellStyle name="Good 2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yperlink" xfId="104"/>
    <cellStyle name="Hyperlink 2" xfId="105"/>
    <cellStyle name="Hyperlink 3" xfId="106"/>
    <cellStyle name="Input" xfId="107"/>
    <cellStyle name="Input 2" xfId="108"/>
    <cellStyle name="Linked Cell" xfId="109"/>
    <cellStyle name="Linked Cell 2" xfId="110"/>
    <cellStyle name="Neutral" xfId="111"/>
    <cellStyle name="Neutral 2" xfId="112"/>
    <cellStyle name="Normal 2" xfId="113"/>
    <cellStyle name="Normal 2 2" xfId="114"/>
    <cellStyle name="Normal 2 2 2" xfId="115"/>
    <cellStyle name="Normal 2 3" xfId="116"/>
    <cellStyle name="Normal 3" xfId="117"/>
    <cellStyle name="Normal 3 2" xfId="118"/>
    <cellStyle name="Normal 4" xfId="119"/>
    <cellStyle name="Normal 5" xfId="120"/>
    <cellStyle name="Normal 6" xfId="121"/>
    <cellStyle name="Note" xfId="122"/>
    <cellStyle name="Note 2" xfId="123"/>
    <cellStyle name="Note 3" xfId="124"/>
    <cellStyle name="Output" xfId="125"/>
    <cellStyle name="Output 2" xfId="126"/>
    <cellStyle name="Percent" xfId="127"/>
    <cellStyle name="Percent 2" xfId="128"/>
    <cellStyle name="Percent 3" xfId="129"/>
    <cellStyle name="Title" xfId="130"/>
    <cellStyle name="Title 2" xfId="131"/>
    <cellStyle name="Total" xfId="132"/>
    <cellStyle name="Total 2" xfId="133"/>
    <cellStyle name="Warning Text" xfId="134"/>
    <cellStyle name="Warning Text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24</xdr:row>
      <xdr:rowOff>19050</xdr:rowOff>
    </xdr:from>
    <xdr:to>
      <xdr:col>7</xdr:col>
      <xdr:colOff>409575</xdr:colOff>
      <xdr:row>51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0"/>
          <a:ext cx="595312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4</xdr:col>
      <xdr:colOff>657225</xdr:colOff>
      <xdr:row>55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5867400" cy="442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2"/>
  <sheetViews>
    <sheetView tabSelected="1" zoomScale="90" zoomScaleNormal="90" zoomScaleSheetLayoutView="75" zoomScalePageLayoutView="0" workbookViewId="0" topLeftCell="A1">
      <pane xSplit="1" ySplit="2" topLeftCell="CT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DI1"/>
    </sheetView>
  </sheetViews>
  <sheetFormatPr defaultColWidth="9.140625" defaultRowHeight="12.75"/>
  <cols>
    <col min="1" max="1" width="36.7109375" style="39" customWidth="1"/>
    <col min="2" max="2" width="13.7109375" style="39" hidden="1" customWidth="1"/>
    <col min="3" max="3" width="13.7109375" style="115" hidden="1" customWidth="1"/>
    <col min="4" max="4" width="13.00390625" style="39" hidden="1" customWidth="1"/>
    <col min="5" max="5" width="13.7109375" style="115" hidden="1" customWidth="1"/>
    <col min="6" max="6" width="13.28125" style="39" hidden="1" customWidth="1"/>
    <col min="7" max="7" width="13.7109375" style="115" hidden="1" customWidth="1"/>
    <col min="8" max="8" width="13.28125" style="39" hidden="1" customWidth="1"/>
    <col min="9" max="9" width="13.7109375" style="115" hidden="1" customWidth="1"/>
    <col min="10" max="10" width="13.28125" style="39" hidden="1" customWidth="1"/>
    <col min="11" max="11" width="13.7109375" style="115" hidden="1" customWidth="1"/>
    <col min="12" max="12" width="13.28125" style="39" hidden="1" customWidth="1"/>
    <col min="13" max="13" width="13.7109375" style="115" hidden="1" customWidth="1"/>
    <col min="14" max="14" width="13.28125" style="39" hidden="1" customWidth="1"/>
    <col min="15" max="15" width="13.7109375" style="115" hidden="1" customWidth="1"/>
    <col min="16" max="16" width="13.28125" style="39" hidden="1" customWidth="1"/>
    <col min="17" max="17" width="13.7109375" style="115" hidden="1" customWidth="1"/>
    <col min="18" max="18" width="13.28125" style="39" hidden="1" customWidth="1"/>
    <col min="19" max="19" width="13.7109375" style="115" hidden="1" customWidth="1"/>
    <col min="20" max="20" width="13.28125" style="39" hidden="1" customWidth="1"/>
    <col min="21" max="21" width="13.7109375" style="115" hidden="1" customWidth="1"/>
    <col min="22" max="22" width="13.28125" style="39" hidden="1" customWidth="1"/>
    <col min="23" max="23" width="13.7109375" style="115" hidden="1" customWidth="1"/>
    <col min="24" max="24" width="13.28125" style="39" hidden="1" customWidth="1"/>
    <col min="25" max="25" width="13.7109375" style="115" hidden="1" customWidth="1"/>
    <col min="26" max="26" width="13.421875" style="39" hidden="1" customWidth="1"/>
    <col min="27" max="27" width="13.421875" style="115" hidden="1" customWidth="1"/>
    <col min="28" max="28" width="15.8515625" style="39" hidden="1" customWidth="1"/>
    <col min="29" max="29" width="13.421875" style="115" hidden="1" customWidth="1"/>
    <col min="30" max="30" width="15.8515625" style="39" hidden="1" customWidth="1"/>
    <col min="31" max="31" width="13.421875" style="115" hidden="1" customWidth="1"/>
    <col min="32" max="32" width="15.8515625" style="39" hidden="1" customWidth="1"/>
    <col min="33" max="33" width="13.421875" style="115" hidden="1" customWidth="1"/>
    <col min="34" max="34" width="15.8515625" style="39" hidden="1" customWidth="1"/>
    <col min="35" max="35" width="13.421875" style="115" hidden="1" customWidth="1"/>
    <col min="36" max="36" width="15.8515625" style="39" hidden="1" customWidth="1"/>
    <col min="37" max="37" width="13.421875" style="115" hidden="1" customWidth="1"/>
    <col min="38" max="38" width="15.8515625" style="39" hidden="1" customWidth="1"/>
    <col min="39" max="39" width="13.421875" style="115" hidden="1" customWidth="1"/>
    <col min="40" max="40" width="15.8515625" style="39" hidden="1" customWidth="1"/>
    <col min="41" max="41" width="13.421875" style="115" hidden="1" customWidth="1"/>
    <col min="42" max="42" width="15.8515625" style="39" hidden="1" customWidth="1"/>
    <col min="43" max="43" width="13.421875" style="115" hidden="1" customWidth="1"/>
    <col min="44" max="44" width="15.8515625" style="39" hidden="1" customWidth="1"/>
    <col min="45" max="45" width="13.421875" style="115" hidden="1" customWidth="1"/>
    <col min="46" max="46" width="15.8515625" style="39" hidden="1" customWidth="1"/>
    <col min="47" max="47" width="13.421875" style="115" hidden="1" customWidth="1"/>
    <col min="48" max="48" width="15.8515625" style="39" hidden="1" customWidth="1"/>
    <col min="49" max="49" width="13.421875" style="115" hidden="1" customWidth="1"/>
    <col min="50" max="50" width="15.8515625" style="39" hidden="1" customWidth="1"/>
    <col min="51" max="51" width="13.421875" style="115" hidden="1" customWidth="1"/>
    <col min="52" max="52" width="15.57421875" style="39" hidden="1" customWidth="1"/>
    <col min="53" max="53" width="15.57421875" style="115" hidden="1" customWidth="1"/>
    <col min="54" max="54" width="15.57421875" style="39" hidden="1" customWidth="1"/>
    <col min="55" max="55" width="15.57421875" style="115" hidden="1" customWidth="1"/>
    <col min="56" max="56" width="15.57421875" style="39" hidden="1" customWidth="1"/>
    <col min="57" max="57" width="15.57421875" style="115" hidden="1" customWidth="1"/>
    <col min="58" max="58" width="15.57421875" style="39" hidden="1" customWidth="1"/>
    <col min="59" max="59" width="15.57421875" style="115" hidden="1" customWidth="1"/>
    <col min="60" max="60" width="15.57421875" style="39" hidden="1" customWidth="1"/>
    <col min="61" max="61" width="15.57421875" style="115" hidden="1" customWidth="1"/>
    <col min="62" max="62" width="15.57421875" style="39" hidden="1" customWidth="1"/>
    <col min="63" max="63" width="15.57421875" style="115" hidden="1" customWidth="1"/>
    <col min="64" max="64" width="15.57421875" style="39" hidden="1" customWidth="1"/>
    <col min="65" max="65" width="15.57421875" style="115" hidden="1" customWidth="1"/>
    <col min="66" max="66" width="15.57421875" style="39" hidden="1" customWidth="1"/>
    <col min="67" max="67" width="15.57421875" style="115" hidden="1" customWidth="1"/>
    <col min="68" max="68" width="15.57421875" style="39" hidden="1" customWidth="1"/>
    <col min="69" max="69" width="15.57421875" style="115" hidden="1" customWidth="1"/>
    <col min="70" max="70" width="15.57421875" style="39" hidden="1" customWidth="1"/>
    <col min="71" max="71" width="15.57421875" style="115" hidden="1" customWidth="1"/>
    <col min="72" max="72" width="15.57421875" style="39" hidden="1" customWidth="1"/>
    <col min="73" max="73" width="15.57421875" style="115" hidden="1" customWidth="1"/>
    <col min="74" max="74" width="15.57421875" style="39" hidden="1" customWidth="1"/>
    <col min="75" max="75" width="15.57421875" style="115" hidden="1" customWidth="1"/>
    <col min="76" max="76" width="15.57421875" style="39" hidden="1" customWidth="1"/>
    <col min="77" max="77" width="15.57421875" style="115" hidden="1" customWidth="1"/>
    <col min="78" max="78" width="15.57421875" style="39" hidden="1" customWidth="1"/>
    <col min="79" max="79" width="15.57421875" style="115" hidden="1" customWidth="1"/>
    <col min="80" max="80" width="15.57421875" style="39" hidden="1" customWidth="1"/>
    <col min="81" max="81" width="15.57421875" style="115" hidden="1" customWidth="1"/>
    <col min="82" max="82" width="15.57421875" style="39" hidden="1" customWidth="1"/>
    <col min="83" max="83" width="15.57421875" style="115" hidden="1" customWidth="1"/>
    <col min="84" max="84" width="15.57421875" style="39" hidden="1" customWidth="1"/>
    <col min="85" max="85" width="15.57421875" style="115" hidden="1" customWidth="1"/>
    <col min="86" max="86" width="15.57421875" style="39" hidden="1" customWidth="1"/>
    <col min="87" max="87" width="15.57421875" style="115" hidden="1" customWidth="1"/>
    <col min="88" max="88" width="15.57421875" style="39" hidden="1" customWidth="1"/>
    <col min="89" max="89" width="15.57421875" style="115" hidden="1" customWidth="1"/>
    <col min="90" max="90" width="15.57421875" style="39" hidden="1" customWidth="1"/>
    <col min="91" max="91" width="15.57421875" style="115" hidden="1" customWidth="1"/>
    <col min="92" max="92" width="15.57421875" style="39" hidden="1" customWidth="1"/>
    <col min="93" max="93" width="15.57421875" style="115" hidden="1" customWidth="1"/>
    <col min="94" max="94" width="15.57421875" style="39" hidden="1" customWidth="1"/>
    <col min="95" max="95" width="15.57421875" style="115" hidden="1" customWidth="1"/>
    <col min="96" max="96" width="15.57421875" style="39" hidden="1" customWidth="1"/>
    <col min="97" max="97" width="15.57421875" style="115" hidden="1" customWidth="1"/>
    <col min="98" max="98" width="15.57421875" style="39" customWidth="1"/>
    <col min="99" max="99" width="15.57421875" style="115" customWidth="1"/>
    <col min="100" max="100" width="15.57421875" style="39" hidden="1" customWidth="1"/>
    <col min="101" max="101" width="15.57421875" style="115" hidden="1" customWidth="1"/>
    <col min="102" max="102" width="15.57421875" style="39" hidden="1" customWidth="1"/>
    <col min="103" max="103" width="15.57421875" style="115" hidden="1" customWidth="1"/>
    <col min="104" max="104" width="15.57421875" style="39" hidden="1" customWidth="1"/>
    <col min="105" max="105" width="15.57421875" style="115" hidden="1" customWidth="1"/>
    <col min="106" max="106" width="15.57421875" style="39" hidden="1" customWidth="1"/>
    <col min="107" max="107" width="15.57421875" style="115" hidden="1" customWidth="1"/>
    <col min="108" max="108" width="15.57421875" style="39" hidden="1" customWidth="1"/>
    <col min="109" max="109" width="15.57421875" style="115" hidden="1" customWidth="1"/>
    <col min="110" max="110" width="15.57421875" style="39" hidden="1" customWidth="1"/>
    <col min="111" max="111" width="15.57421875" style="115" hidden="1" customWidth="1"/>
    <col min="112" max="112" width="15.57421875" style="39" customWidth="1"/>
    <col min="113" max="113" width="15.57421875" style="115" customWidth="1"/>
    <col min="114" max="16384" width="9.140625" style="39" customWidth="1"/>
  </cols>
  <sheetData>
    <row r="1" spans="1:113" ht="16.5" thickBot="1">
      <c r="A1" s="351" t="s">
        <v>11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1"/>
      <c r="BQ1" s="351"/>
      <c r="BR1" s="351"/>
      <c r="BS1" s="351"/>
      <c r="BT1" s="351"/>
      <c r="BU1" s="351"/>
      <c r="BV1" s="351"/>
      <c r="BW1" s="351"/>
      <c r="BX1" s="351"/>
      <c r="BY1" s="351"/>
      <c r="BZ1" s="351"/>
      <c r="CA1" s="351"/>
      <c r="CB1" s="351"/>
      <c r="CC1" s="351"/>
      <c r="CD1" s="351"/>
      <c r="CE1" s="351"/>
      <c r="CF1" s="351"/>
      <c r="CG1" s="351"/>
      <c r="CH1" s="351"/>
      <c r="CI1" s="351"/>
      <c r="CJ1" s="351"/>
      <c r="CK1" s="351"/>
      <c r="CL1" s="351"/>
      <c r="CM1" s="351"/>
      <c r="CN1" s="351"/>
      <c r="CO1" s="351"/>
      <c r="CP1" s="351"/>
      <c r="CQ1" s="351"/>
      <c r="CR1" s="351"/>
      <c r="CS1" s="351"/>
      <c r="CT1" s="351"/>
      <c r="CU1" s="351"/>
      <c r="CV1" s="351"/>
      <c r="CW1" s="351"/>
      <c r="CX1" s="351"/>
      <c r="CY1" s="351"/>
      <c r="CZ1" s="351"/>
      <c r="DA1" s="351"/>
      <c r="DB1" s="351"/>
      <c r="DC1" s="351"/>
      <c r="DD1" s="351"/>
      <c r="DE1" s="351"/>
      <c r="DF1" s="351"/>
      <c r="DG1" s="351"/>
      <c r="DH1" s="351"/>
      <c r="DI1" s="351"/>
    </row>
    <row r="2" spans="1:113" ht="23.25" customHeight="1" thickBot="1">
      <c r="A2" s="197" t="s">
        <v>10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26" t="s">
        <v>478</v>
      </c>
      <c r="AY2" s="327"/>
      <c r="AZ2" s="326" t="s">
        <v>478</v>
      </c>
      <c r="BA2" s="327"/>
      <c r="BB2" s="326" t="s">
        <v>478</v>
      </c>
      <c r="BC2" s="327"/>
      <c r="BD2" s="326" t="s">
        <v>478</v>
      </c>
      <c r="BE2" s="327"/>
      <c r="BF2" s="326" t="s">
        <v>501</v>
      </c>
      <c r="BG2" s="327"/>
      <c r="BH2" s="326" t="s">
        <v>503</v>
      </c>
      <c r="BI2" s="327"/>
      <c r="BJ2" s="326" t="s">
        <v>503</v>
      </c>
      <c r="BK2" s="327"/>
      <c r="BL2" s="326" t="s">
        <v>503</v>
      </c>
      <c r="BM2" s="327"/>
      <c r="BN2" s="326" t="s">
        <v>503</v>
      </c>
      <c r="BO2" s="327"/>
      <c r="BP2" s="326" t="s">
        <v>503</v>
      </c>
      <c r="BQ2" s="327"/>
      <c r="BR2" s="326" t="s">
        <v>503</v>
      </c>
      <c r="BS2" s="327"/>
      <c r="BT2" s="326" t="s">
        <v>503</v>
      </c>
      <c r="BU2" s="327"/>
      <c r="BV2" s="326" t="s">
        <v>478</v>
      </c>
      <c r="BW2" s="327"/>
      <c r="BX2" s="326" t="s">
        <v>478</v>
      </c>
      <c r="BY2" s="327"/>
      <c r="BZ2" s="326" t="s">
        <v>478</v>
      </c>
      <c r="CA2" s="327"/>
      <c r="CB2" s="326" t="s">
        <v>553</v>
      </c>
      <c r="CC2" s="327"/>
      <c r="CD2" s="326"/>
      <c r="CE2" s="327"/>
      <c r="CF2" s="326"/>
      <c r="CG2" s="327"/>
      <c r="CH2" s="326"/>
      <c r="CI2" s="327"/>
      <c r="CJ2" s="326"/>
      <c r="CK2" s="327"/>
      <c r="CL2" s="326"/>
      <c r="CM2" s="327"/>
      <c r="CN2" s="326"/>
      <c r="CO2" s="327"/>
      <c r="CP2" s="326"/>
      <c r="CQ2" s="327"/>
      <c r="CR2" s="326"/>
      <c r="CS2" s="327"/>
      <c r="CT2" s="326" t="s">
        <v>582</v>
      </c>
      <c r="CU2" s="327"/>
      <c r="CV2" s="330" t="s">
        <v>582</v>
      </c>
      <c r="CW2" s="331"/>
      <c r="CX2" s="326" t="s">
        <v>582</v>
      </c>
      <c r="CY2" s="327"/>
      <c r="CZ2" s="326"/>
      <c r="DA2" s="327"/>
      <c r="DB2" s="326"/>
      <c r="DC2" s="327"/>
      <c r="DD2" s="326"/>
      <c r="DE2" s="327"/>
      <c r="DF2" s="326"/>
      <c r="DG2" s="327"/>
      <c r="DH2" s="326"/>
      <c r="DI2" s="327"/>
    </row>
    <row r="3" spans="2:113" ht="13.5" thickBot="1">
      <c r="B3" s="328" t="s">
        <v>368</v>
      </c>
      <c r="C3" s="329"/>
      <c r="D3" s="328" t="s">
        <v>371</v>
      </c>
      <c r="E3" s="329"/>
      <c r="F3" s="328" t="s">
        <v>379</v>
      </c>
      <c r="G3" s="329"/>
      <c r="H3" s="328" t="s">
        <v>384</v>
      </c>
      <c r="I3" s="329"/>
      <c r="J3" s="328" t="s">
        <v>388</v>
      </c>
      <c r="K3" s="329"/>
      <c r="L3" s="328" t="s">
        <v>392</v>
      </c>
      <c r="M3" s="329"/>
      <c r="N3" s="328" t="s">
        <v>396</v>
      </c>
      <c r="O3" s="329"/>
      <c r="P3" s="328" t="s">
        <v>400</v>
      </c>
      <c r="Q3" s="329"/>
      <c r="R3" s="328" t="s">
        <v>404</v>
      </c>
      <c r="S3" s="329"/>
      <c r="T3" s="328" t="s">
        <v>408</v>
      </c>
      <c r="U3" s="329"/>
      <c r="V3" s="328" t="s">
        <v>412</v>
      </c>
      <c r="W3" s="329"/>
      <c r="X3" s="328" t="s">
        <v>417</v>
      </c>
      <c r="Y3" s="329"/>
      <c r="Z3" s="334" t="s">
        <v>474</v>
      </c>
      <c r="AA3" s="335"/>
      <c r="AB3" s="328" t="s">
        <v>426</v>
      </c>
      <c r="AC3" s="329"/>
      <c r="AD3" s="328" t="s">
        <v>432</v>
      </c>
      <c r="AE3" s="329"/>
      <c r="AF3" s="328" t="s">
        <v>434</v>
      </c>
      <c r="AG3" s="329"/>
      <c r="AH3" s="328" t="s">
        <v>439</v>
      </c>
      <c r="AI3" s="329"/>
      <c r="AJ3" s="328" t="s">
        <v>440</v>
      </c>
      <c r="AK3" s="329"/>
      <c r="AL3" s="328" t="s">
        <v>451</v>
      </c>
      <c r="AM3" s="329"/>
      <c r="AN3" s="328" t="s">
        <v>455</v>
      </c>
      <c r="AO3" s="329"/>
      <c r="AP3" s="328" t="s">
        <v>459</v>
      </c>
      <c r="AQ3" s="329"/>
      <c r="AR3" s="328" t="s">
        <v>461</v>
      </c>
      <c r="AS3" s="329"/>
      <c r="AT3" s="328" t="s">
        <v>466</v>
      </c>
      <c r="AU3" s="329"/>
      <c r="AV3" s="328" t="s">
        <v>470</v>
      </c>
      <c r="AW3" s="333"/>
      <c r="AX3" s="328" t="s">
        <v>474</v>
      </c>
      <c r="AY3" s="329"/>
      <c r="AZ3" s="328" t="s">
        <v>483</v>
      </c>
      <c r="BA3" s="329"/>
      <c r="BB3" s="328" t="s">
        <v>484</v>
      </c>
      <c r="BC3" s="329"/>
      <c r="BD3" s="328" t="s">
        <v>496</v>
      </c>
      <c r="BE3" s="329"/>
      <c r="BF3" s="328" t="s">
        <v>500</v>
      </c>
      <c r="BG3" s="329"/>
      <c r="BH3" s="328" t="s">
        <v>504</v>
      </c>
      <c r="BI3" s="329"/>
      <c r="BJ3" s="328" t="s">
        <v>508</v>
      </c>
      <c r="BK3" s="329"/>
      <c r="BL3" s="328" t="s">
        <v>510</v>
      </c>
      <c r="BM3" s="329"/>
      <c r="BN3" s="328" t="s">
        <v>512</v>
      </c>
      <c r="BO3" s="329"/>
      <c r="BP3" s="328" t="s">
        <v>519</v>
      </c>
      <c r="BQ3" s="329"/>
      <c r="BR3" s="328" t="s">
        <v>523</v>
      </c>
      <c r="BS3" s="329"/>
      <c r="BT3" s="328" t="s">
        <v>527</v>
      </c>
      <c r="BU3" s="329"/>
      <c r="BV3" s="328" t="s">
        <v>531</v>
      </c>
      <c r="BW3" s="329"/>
      <c r="BX3" s="328" t="s">
        <v>538</v>
      </c>
      <c r="BY3" s="329"/>
      <c r="BZ3" s="328" t="s">
        <v>541</v>
      </c>
      <c r="CA3" s="329"/>
      <c r="CB3" s="328" t="s">
        <v>547</v>
      </c>
      <c r="CC3" s="329"/>
      <c r="CD3" s="328" t="s">
        <v>552</v>
      </c>
      <c r="CE3" s="329"/>
      <c r="CF3" s="328" t="s">
        <v>557</v>
      </c>
      <c r="CG3" s="329"/>
      <c r="CH3" s="328" t="s">
        <v>560</v>
      </c>
      <c r="CI3" s="329"/>
      <c r="CJ3" s="328" t="s">
        <v>561</v>
      </c>
      <c r="CK3" s="329"/>
      <c r="CL3" s="328" t="s">
        <v>565</v>
      </c>
      <c r="CM3" s="329"/>
      <c r="CN3" s="328" t="s">
        <v>571</v>
      </c>
      <c r="CO3" s="329"/>
      <c r="CP3" s="328" t="s">
        <v>574</v>
      </c>
      <c r="CQ3" s="329"/>
      <c r="CR3" s="328" t="s">
        <v>579</v>
      </c>
      <c r="CS3" s="329"/>
      <c r="CT3" s="328" t="s">
        <v>583</v>
      </c>
      <c r="CU3" s="329"/>
      <c r="CV3" s="328" t="s">
        <v>585</v>
      </c>
      <c r="CW3" s="329"/>
      <c r="CX3" s="328" t="s">
        <v>588</v>
      </c>
      <c r="CY3" s="329"/>
      <c r="CZ3" s="328" t="s">
        <v>589</v>
      </c>
      <c r="DA3" s="329"/>
      <c r="DB3" s="328" t="s">
        <v>597</v>
      </c>
      <c r="DC3" s="329"/>
      <c r="DD3" s="328" t="s">
        <v>602</v>
      </c>
      <c r="DE3" s="329"/>
      <c r="DF3" s="328" t="s">
        <v>604</v>
      </c>
      <c r="DG3" s="329"/>
      <c r="DH3" s="328" t="s">
        <v>607</v>
      </c>
      <c r="DI3" s="329"/>
    </row>
    <row r="4" spans="1:113" ht="15" thickBot="1">
      <c r="A4" s="116"/>
      <c r="B4" s="198" t="s">
        <v>280</v>
      </c>
      <c r="C4" s="198" t="s">
        <v>263</v>
      </c>
      <c r="D4" s="198" t="s">
        <v>280</v>
      </c>
      <c r="E4" s="198" t="s">
        <v>263</v>
      </c>
      <c r="F4" s="198" t="s">
        <v>280</v>
      </c>
      <c r="G4" s="198" t="s">
        <v>263</v>
      </c>
      <c r="H4" s="198" t="s">
        <v>280</v>
      </c>
      <c r="I4" s="198" t="s">
        <v>263</v>
      </c>
      <c r="J4" s="198" t="s">
        <v>280</v>
      </c>
      <c r="K4" s="198" t="s">
        <v>263</v>
      </c>
      <c r="L4" s="198" t="s">
        <v>280</v>
      </c>
      <c r="M4" s="198" t="s">
        <v>263</v>
      </c>
      <c r="N4" s="198" t="s">
        <v>280</v>
      </c>
      <c r="O4" s="198" t="s">
        <v>263</v>
      </c>
      <c r="P4" s="198" t="s">
        <v>280</v>
      </c>
      <c r="Q4" s="198" t="s">
        <v>263</v>
      </c>
      <c r="R4" s="198" t="s">
        <v>280</v>
      </c>
      <c r="S4" s="198" t="s">
        <v>263</v>
      </c>
      <c r="T4" s="198" t="s">
        <v>280</v>
      </c>
      <c r="U4" s="198" t="s">
        <v>263</v>
      </c>
      <c r="V4" s="198" t="s">
        <v>280</v>
      </c>
      <c r="W4" s="198" t="s">
        <v>263</v>
      </c>
      <c r="X4" s="198" t="s">
        <v>280</v>
      </c>
      <c r="Y4" s="198" t="s">
        <v>263</v>
      </c>
      <c r="Z4" s="198" t="s">
        <v>280</v>
      </c>
      <c r="AA4" s="198" t="s">
        <v>263</v>
      </c>
      <c r="AB4" s="198" t="s">
        <v>280</v>
      </c>
      <c r="AC4" s="198" t="s">
        <v>263</v>
      </c>
      <c r="AD4" s="198" t="s">
        <v>280</v>
      </c>
      <c r="AE4" s="198" t="s">
        <v>263</v>
      </c>
      <c r="AF4" s="198" t="s">
        <v>280</v>
      </c>
      <c r="AG4" s="198" t="s">
        <v>263</v>
      </c>
      <c r="AH4" s="198" t="s">
        <v>280</v>
      </c>
      <c r="AI4" s="198" t="s">
        <v>263</v>
      </c>
      <c r="AJ4" s="198" t="s">
        <v>280</v>
      </c>
      <c r="AK4" s="198" t="s">
        <v>263</v>
      </c>
      <c r="AL4" s="198" t="s">
        <v>280</v>
      </c>
      <c r="AM4" s="198" t="s">
        <v>263</v>
      </c>
      <c r="AN4" s="198" t="s">
        <v>280</v>
      </c>
      <c r="AO4" s="198" t="s">
        <v>263</v>
      </c>
      <c r="AP4" s="198" t="s">
        <v>280</v>
      </c>
      <c r="AQ4" s="198" t="s">
        <v>263</v>
      </c>
      <c r="AR4" s="198" t="s">
        <v>280</v>
      </c>
      <c r="AS4" s="198" t="s">
        <v>263</v>
      </c>
      <c r="AT4" s="198" t="s">
        <v>280</v>
      </c>
      <c r="AU4" s="198" t="s">
        <v>263</v>
      </c>
      <c r="AV4" s="198" t="s">
        <v>280</v>
      </c>
      <c r="AW4" s="198" t="s">
        <v>263</v>
      </c>
      <c r="AX4" s="198" t="s">
        <v>280</v>
      </c>
      <c r="AY4" s="198" t="s">
        <v>263</v>
      </c>
      <c r="AZ4" s="198" t="s">
        <v>280</v>
      </c>
      <c r="BA4" s="198" t="s">
        <v>263</v>
      </c>
      <c r="BB4" s="198" t="s">
        <v>280</v>
      </c>
      <c r="BC4" s="198" t="s">
        <v>263</v>
      </c>
      <c r="BD4" s="198" t="s">
        <v>280</v>
      </c>
      <c r="BE4" s="198" t="s">
        <v>263</v>
      </c>
      <c r="BF4" s="198" t="s">
        <v>280</v>
      </c>
      <c r="BG4" s="198" t="s">
        <v>263</v>
      </c>
      <c r="BH4" s="198" t="s">
        <v>280</v>
      </c>
      <c r="BI4" s="198" t="s">
        <v>263</v>
      </c>
      <c r="BJ4" s="198" t="s">
        <v>280</v>
      </c>
      <c r="BK4" s="198" t="s">
        <v>263</v>
      </c>
      <c r="BL4" s="198" t="s">
        <v>280</v>
      </c>
      <c r="BM4" s="198" t="s">
        <v>263</v>
      </c>
      <c r="BN4" s="198" t="s">
        <v>280</v>
      </c>
      <c r="BO4" s="198" t="s">
        <v>263</v>
      </c>
      <c r="BP4" s="198" t="s">
        <v>280</v>
      </c>
      <c r="BQ4" s="198" t="s">
        <v>263</v>
      </c>
      <c r="BR4" s="198" t="s">
        <v>280</v>
      </c>
      <c r="BS4" s="198" t="s">
        <v>263</v>
      </c>
      <c r="BT4" s="198" t="s">
        <v>280</v>
      </c>
      <c r="BU4" s="198" t="s">
        <v>263</v>
      </c>
      <c r="BV4" s="198" t="s">
        <v>280</v>
      </c>
      <c r="BW4" s="198" t="s">
        <v>263</v>
      </c>
      <c r="BX4" s="198" t="s">
        <v>280</v>
      </c>
      <c r="BY4" s="198" t="s">
        <v>263</v>
      </c>
      <c r="BZ4" s="198" t="s">
        <v>280</v>
      </c>
      <c r="CA4" s="198" t="s">
        <v>263</v>
      </c>
      <c r="CB4" s="198" t="s">
        <v>280</v>
      </c>
      <c r="CC4" s="198" t="s">
        <v>263</v>
      </c>
      <c r="CD4" s="198" t="s">
        <v>280</v>
      </c>
      <c r="CE4" s="198" t="s">
        <v>263</v>
      </c>
      <c r="CF4" s="198" t="s">
        <v>280</v>
      </c>
      <c r="CG4" s="198" t="s">
        <v>263</v>
      </c>
      <c r="CH4" s="198" t="s">
        <v>280</v>
      </c>
      <c r="CI4" s="198" t="s">
        <v>263</v>
      </c>
      <c r="CJ4" s="198" t="s">
        <v>280</v>
      </c>
      <c r="CK4" s="198" t="s">
        <v>263</v>
      </c>
      <c r="CL4" s="198" t="s">
        <v>280</v>
      </c>
      <c r="CM4" s="198" t="s">
        <v>263</v>
      </c>
      <c r="CN4" s="198" t="s">
        <v>280</v>
      </c>
      <c r="CO4" s="198" t="s">
        <v>263</v>
      </c>
      <c r="CP4" s="198" t="s">
        <v>280</v>
      </c>
      <c r="CQ4" s="198" t="s">
        <v>263</v>
      </c>
      <c r="CR4" s="198" t="s">
        <v>280</v>
      </c>
      <c r="CS4" s="198" t="s">
        <v>263</v>
      </c>
      <c r="CT4" s="198" t="s">
        <v>280</v>
      </c>
      <c r="CU4" s="198" t="s">
        <v>263</v>
      </c>
      <c r="CV4" s="198" t="s">
        <v>280</v>
      </c>
      <c r="CW4" s="198" t="s">
        <v>263</v>
      </c>
      <c r="CX4" s="198" t="s">
        <v>280</v>
      </c>
      <c r="CY4" s="198" t="s">
        <v>263</v>
      </c>
      <c r="CZ4" s="198" t="s">
        <v>280</v>
      </c>
      <c r="DA4" s="198" t="s">
        <v>263</v>
      </c>
      <c r="DB4" s="198" t="s">
        <v>280</v>
      </c>
      <c r="DC4" s="198" t="s">
        <v>263</v>
      </c>
      <c r="DD4" s="198" t="s">
        <v>280</v>
      </c>
      <c r="DE4" s="198" t="s">
        <v>263</v>
      </c>
      <c r="DF4" s="198" t="s">
        <v>280</v>
      </c>
      <c r="DG4" s="198" t="s">
        <v>263</v>
      </c>
      <c r="DH4" s="198" t="s">
        <v>280</v>
      </c>
      <c r="DI4" s="198" t="s">
        <v>263</v>
      </c>
    </row>
    <row r="5" spans="2:113" ht="12.75">
      <c r="B5" s="206"/>
      <c r="C5" s="207">
        <f>+B34</f>
        <v>128534216.95</v>
      </c>
      <c r="D5" s="206"/>
      <c r="E5" s="207">
        <f>+D34</f>
        <v>165973190.6</v>
      </c>
      <c r="F5" s="206"/>
      <c r="G5" s="207">
        <f>+F34</f>
        <v>154531183.6</v>
      </c>
      <c r="H5" s="206"/>
      <c r="I5" s="207">
        <f>+H34</f>
        <v>112617008.42</v>
      </c>
      <c r="J5" s="206"/>
      <c r="K5" s="207">
        <f>+J34</f>
        <v>122165726.01</v>
      </c>
      <c r="L5" s="206"/>
      <c r="M5" s="207">
        <f>+L34</f>
        <v>148208939.98000002</v>
      </c>
      <c r="N5" s="206"/>
      <c r="O5" s="207">
        <f>+N34</f>
        <v>137273917.87</v>
      </c>
      <c r="P5" s="206"/>
      <c r="Q5" s="207">
        <f>+P34</f>
        <v>151874562.86</v>
      </c>
      <c r="R5" s="206"/>
      <c r="S5" s="207">
        <f>+R34</f>
        <v>142272195.13</v>
      </c>
      <c r="T5" s="206"/>
      <c r="U5" s="207">
        <f>+T34</f>
        <v>146939801.12</v>
      </c>
      <c r="V5" s="206"/>
      <c r="W5" s="207">
        <f>+V34</f>
        <v>136363218.84</v>
      </c>
      <c r="X5" s="206"/>
      <c r="Y5" s="207">
        <f>+X34</f>
        <v>192546942.9</v>
      </c>
      <c r="Z5" s="206"/>
      <c r="AA5" s="207">
        <f>+Z34</f>
        <v>182578150</v>
      </c>
      <c r="AB5" s="206"/>
      <c r="AC5" s="207">
        <f>+AB34</f>
        <v>188703967.14</v>
      </c>
      <c r="AD5" s="206"/>
      <c r="AE5" s="207">
        <f>+AD34</f>
        <v>201283453.8</v>
      </c>
      <c r="AF5" s="206"/>
      <c r="AG5" s="207">
        <f>+AF34</f>
        <v>171103662.61</v>
      </c>
      <c r="AH5" s="206"/>
      <c r="AI5" s="207">
        <f>+AH34</f>
        <v>186884177.57999998</v>
      </c>
      <c r="AJ5" s="206"/>
      <c r="AK5" s="207">
        <f>+AJ34</f>
        <v>189500085.52</v>
      </c>
      <c r="AL5" s="206"/>
      <c r="AM5" s="207">
        <f>+AL34</f>
        <v>213556369.59</v>
      </c>
      <c r="AN5" s="206"/>
      <c r="AO5" s="207">
        <f>+AN34</f>
        <v>222932092.22</v>
      </c>
      <c r="AP5" s="206"/>
      <c r="AQ5" s="207">
        <f>+AP34</f>
        <v>216269687.43</v>
      </c>
      <c r="AR5" s="206"/>
      <c r="AS5" s="207">
        <f>+AR34</f>
        <v>228592137.1</v>
      </c>
      <c r="AT5" s="206"/>
      <c r="AU5" s="207">
        <f>+AT34</f>
        <v>225608620.47</v>
      </c>
      <c r="AV5" s="206"/>
      <c r="AW5" s="207">
        <f>+AV34</f>
        <v>224869563.3</v>
      </c>
      <c r="AX5" s="206"/>
      <c r="AY5" s="207">
        <f>+AX34</f>
        <v>162779922.74</v>
      </c>
      <c r="AZ5" s="206"/>
      <c r="BA5" s="207">
        <f>+AZ34</f>
        <v>207417240.39</v>
      </c>
      <c r="BB5" s="206"/>
      <c r="BC5" s="207">
        <f>+BB34</f>
        <v>210117833.31</v>
      </c>
      <c r="BD5" s="206"/>
      <c r="BE5" s="207">
        <f>+BD34</f>
        <v>172036758.51</v>
      </c>
      <c r="BF5" s="206"/>
      <c r="BG5" s="207">
        <f>+BF34</f>
        <v>173058710.98000002</v>
      </c>
      <c r="BH5" s="206"/>
      <c r="BI5" s="207">
        <f>+BH34</f>
        <v>154861457.34</v>
      </c>
      <c r="BJ5" s="206"/>
      <c r="BK5" s="207">
        <f>+BJ34</f>
        <v>190072667.86</v>
      </c>
      <c r="BL5" s="206"/>
      <c r="BM5" s="207">
        <f>+BL34</f>
        <v>199292719.86</v>
      </c>
      <c r="BN5" s="206"/>
      <c r="BO5" s="207">
        <f>+BN34</f>
        <v>192215302.05</v>
      </c>
      <c r="BP5" s="206"/>
      <c r="BQ5" s="207">
        <f>+BP34</f>
        <v>221118412.70999998</v>
      </c>
      <c r="BR5" s="206"/>
      <c r="BS5" s="207">
        <f>+BR34</f>
        <v>216651437.13</v>
      </c>
      <c r="BT5" s="206"/>
      <c r="BU5" s="207">
        <f>+BT34</f>
        <v>196817288.91</v>
      </c>
      <c r="BV5" s="206"/>
      <c r="BW5" s="207">
        <f>+BV34</f>
        <v>129961933.28</v>
      </c>
      <c r="BX5" s="206"/>
      <c r="BY5" s="207">
        <f>+BX34</f>
        <v>164044065.19</v>
      </c>
      <c r="BZ5" s="206"/>
      <c r="CA5" s="207">
        <f>+BZ34</f>
        <v>161442849.42000002</v>
      </c>
      <c r="CB5" s="206"/>
      <c r="CC5" s="207">
        <f>+CB34</f>
        <v>126814996.37000036</v>
      </c>
      <c r="CD5" s="206"/>
      <c r="CE5" s="207">
        <f>+CD34</f>
        <v>133555570.91</v>
      </c>
      <c r="CF5" s="206"/>
      <c r="CG5" s="207">
        <f>+CF34</f>
        <v>113015221.32000002</v>
      </c>
      <c r="CH5" s="206"/>
      <c r="CI5" s="207">
        <f>+CH34</f>
        <v>131843095.6</v>
      </c>
      <c r="CJ5" s="206"/>
      <c r="CK5" s="207">
        <f>+CJ34</f>
        <v>144305374.17000002</v>
      </c>
      <c r="CL5" s="206"/>
      <c r="CM5" s="207">
        <f>+CL34</f>
        <v>147147219.14</v>
      </c>
      <c r="CN5" s="206"/>
      <c r="CO5" s="207">
        <f>+CN34</f>
        <v>129853765.8</v>
      </c>
      <c r="CP5" s="206"/>
      <c r="CQ5" s="207">
        <f>+CP34</f>
        <v>146362809.05</v>
      </c>
      <c r="CR5" s="206"/>
      <c r="CS5" s="207">
        <f>+CR34</f>
        <v>141027627.57</v>
      </c>
      <c r="CT5" s="206"/>
      <c r="CU5" s="207">
        <f>+CT34</f>
        <v>98497185.76</v>
      </c>
      <c r="CV5" s="206"/>
      <c r="CW5" s="207">
        <f>+CV34</f>
        <v>152937039.74</v>
      </c>
      <c r="CX5" s="206"/>
      <c r="CY5" s="207">
        <f>+CX34</f>
        <v>144963826.82999998</v>
      </c>
      <c r="CZ5" s="206"/>
      <c r="DA5" s="207">
        <f>+CZ34</f>
        <v>122038631.9</v>
      </c>
      <c r="DB5" s="206"/>
      <c r="DC5" s="207">
        <f>+DB34</f>
        <v>135784093.121</v>
      </c>
      <c r="DD5" s="206"/>
      <c r="DE5" s="207">
        <f>+DD34</f>
        <v>141744087.19</v>
      </c>
      <c r="DF5" s="206"/>
      <c r="DG5" s="207">
        <f>+DF34</f>
        <v>168893197.39</v>
      </c>
      <c r="DH5" s="206"/>
      <c r="DI5" s="207">
        <f>+DH34</f>
        <v>170891415.22</v>
      </c>
    </row>
    <row r="6" spans="1:113" ht="12.75">
      <c r="A6" s="210" t="s">
        <v>25</v>
      </c>
      <c r="B6" s="223">
        <v>24895665</v>
      </c>
      <c r="C6" s="224">
        <f>B6</f>
        <v>24895665</v>
      </c>
      <c r="D6" s="223">
        <f>+'Unutilised grants'!J46</f>
        <v>63026610.33</v>
      </c>
      <c r="E6" s="224">
        <f>D6</f>
        <v>63026610.33</v>
      </c>
      <c r="F6" s="223">
        <f>+'Unutilised grants'!J57</f>
        <v>63026610.33</v>
      </c>
      <c r="G6" s="224">
        <f>F6</f>
        <v>63026610.33</v>
      </c>
      <c r="H6" s="223">
        <f>+'Unutilised grants'!J69</f>
        <v>32760572.290000003</v>
      </c>
      <c r="I6" s="224">
        <f>H6</f>
        <v>32760572.290000003</v>
      </c>
      <c r="J6" s="223">
        <f>+'Unutilised grants'!J81</f>
        <v>28025262.450000003</v>
      </c>
      <c r="K6" s="224">
        <f>J6</f>
        <v>28025262.450000003</v>
      </c>
      <c r="L6" s="223">
        <f>+'Unutilised grants'!J93</f>
        <v>40269192.76000001</v>
      </c>
      <c r="M6" s="224">
        <f>L6</f>
        <v>40269192.76000001</v>
      </c>
      <c r="N6" s="223">
        <f>+'Unutilised grants'!J105</f>
        <v>32610687.67000001</v>
      </c>
      <c r="O6" s="224">
        <f>N6</f>
        <v>32610687.67000001</v>
      </c>
      <c r="P6" s="223">
        <f>+'Unutilised grants'!J118</f>
        <v>32610687.67000001</v>
      </c>
      <c r="Q6" s="224">
        <f>P6</f>
        <v>32610687.67000001</v>
      </c>
      <c r="R6" s="223">
        <f>+'Unutilised grants'!J130</f>
        <v>26289840.900000006</v>
      </c>
      <c r="S6" s="224">
        <f>R6</f>
        <v>26289840.900000006</v>
      </c>
      <c r="T6" s="223">
        <f>+'Unutilised grants'!J142</f>
        <v>45777590.35000001</v>
      </c>
      <c r="U6" s="224">
        <f>T6</f>
        <v>45777590.35000001</v>
      </c>
      <c r="V6" s="223">
        <f>+'Unutilised grants'!J154</f>
        <v>41395892.019999996</v>
      </c>
      <c r="W6" s="224">
        <f>V6</f>
        <v>41395892.019999996</v>
      </c>
      <c r="X6" s="223">
        <f>+'Unutilised grants'!J165</f>
        <v>29240643.12999999</v>
      </c>
      <c r="Y6" s="224">
        <f>X6</f>
        <v>29240643.12999999</v>
      </c>
      <c r="Z6" s="223">
        <v>27786953</v>
      </c>
      <c r="AA6" s="224">
        <f>Z6</f>
        <v>27786953</v>
      </c>
      <c r="AB6" s="223">
        <f>+'Unutilised grants'!J188</f>
        <v>47115881.64</v>
      </c>
      <c r="AC6" s="224">
        <f>AB6</f>
        <v>47115881.64</v>
      </c>
      <c r="AD6" s="223">
        <f>+'Unutilised grants'!J199</f>
        <v>45784828.88</v>
      </c>
      <c r="AE6" s="224">
        <f>AD6</f>
        <v>45784828.88</v>
      </c>
      <c r="AF6" s="223">
        <f>+'Unutilised grants'!J211</f>
        <v>35809394.84</v>
      </c>
      <c r="AG6" s="224">
        <f>AF6</f>
        <v>35809394.84</v>
      </c>
      <c r="AH6" s="223">
        <f>+'Unutilised grants'!J223</f>
        <v>25919014.82</v>
      </c>
      <c r="AI6" s="224">
        <f>AH6</f>
        <v>25919014.82</v>
      </c>
      <c r="AJ6" s="223">
        <f>+'Unutilised grants'!J235</f>
        <v>37586171.83</v>
      </c>
      <c r="AK6" s="224">
        <f>AJ6</f>
        <v>37586171.83</v>
      </c>
      <c r="AL6" s="223">
        <f>+'Unutilised grants'!J247</f>
        <v>56466394.410000004</v>
      </c>
      <c r="AM6" s="224">
        <f>AL6</f>
        <v>56466394.410000004</v>
      </c>
      <c r="AN6" s="223">
        <f>+'Unutilised grants'!J259</f>
        <v>48624943.389999986</v>
      </c>
      <c r="AO6" s="224">
        <f>AN6</f>
        <v>48624943.389999986</v>
      </c>
      <c r="AP6" s="223">
        <f>+'Unutilised grants'!J271</f>
        <v>39659803.029999994</v>
      </c>
      <c r="AQ6" s="224">
        <f>AP6</f>
        <v>39659803.029999994</v>
      </c>
      <c r="AR6" s="223">
        <f>+'Unutilised grants'!J282</f>
        <v>64427544.870000005</v>
      </c>
      <c r="AS6" s="224">
        <f>AR6</f>
        <v>64427544.870000005</v>
      </c>
      <c r="AT6" s="223">
        <f>+'Unutilised grants'!J294</f>
        <v>57949308.95</v>
      </c>
      <c r="AU6" s="224">
        <f>AT6</f>
        <v>57949308.95</v>
      </c>
      <c r="AV6" s="223">
        <f>+'Unutilised grants'!J306</f>
        <v>50542303.599999994</v>
      </c>
      <c r="AW6" s="224">
        <f>AV6</f>
        <v>50542303.599999994</v>
      </c>
      <c r="AX6" s="223">
        <f>+'Unutilised grants'!J318</f>
        <v>32277275.740000002</v>
      </c>
      <c r="AY6" s="224">
        <f>AX6</f>
        <v>32277275.740000002</v>
      </c>
      <c r="AZ6" s="223">
        <f>'Unutilised grants'!J330</f>
        <v>69989510.21000001</v>
      </c>
      <c r="BA6" s="224">
        <f>AZ6</f>
        <v>69989510.21000001</v>
      </c>
      <c r="BB6" s="223">
        <v>64541465.11</v>
      </c>
      <c r="BC6" s="224">
        <f>BB6</f>
        <v>64541465.11</v>
      </c>
      <c r="BD6" s="223">
        <f>'Unutilised grants'!J342</f>
        <v>50258306.66</v>
      </c>
      <c r="BE6" s="224">
        <f>BD6</f>
        <v>50258306.66</v>
      </c>
      <c r="BF6" s="223">
        <f>+'Unutilised grants'!J356</f>
        <v>33752156.31999999</v>
      </c>
      <c r="BG6" s="224">
        <f>BF6</f>
        <v>33752156.31999999</v>
      </c>
      <c r="BH6" s="223">
        <f>+'Unutilised grants'!J356</f>
        <v>33752156.31999999</v>
      </c>
      <c r="BI6" s="224">
        <f>BH6</f>
        <v>33752156.31999999</v>
      </c>
      <c r="BJ6" s="223">
        <f>+'Unutilised grants'!J369</f>
        <v>63062228.8</v>
      </c>
      <c r="BK6" s="224">
        <f>BJ6</f>
        <v>63062228.8</v>
      </c>
      <c r="BL6" s="223">
        <f>+'Unutilised grants'!J382</f>
        <v>50292045.7</v>
      </c>
      <c r="BM6" s="224">
        <f>BL6</f>
        <v>50292045.7</v>
      </c>
      <c r="BN6" s="223">
        <f>+'Unutilised grants'!J395</f>
        <v>41432938.33000001</v>
      </c>
      <c r="BO6" s="224">
        <f>BN6</f>
        <v>41432938.33000001</v>
      </c>
      <c r="BP6" s="223">
        <f>+'Unutilised grants'!J407</f>
        <v>90576423.25999998</v>
      </c>
      <c r="BQ6" s="224">
        <f>BP6</f>
        <v>90576423.25999998</v>
      </c>
      <c r="BR6" s="223">
        <f>+'Unutilised grants'!J421</f>
        <v>92304004.56999998</v>
      </c>
      <c r="BS6" s="224">
        <f>BR6</f>
        <v>92304004.56999998</v>
      </c>
      <c r="BT6" s="223">
        <f>'Unutilised grants'!J432</f>
        <v>69572851.70999998</v>
      </c>
      <c r="BU6" s="224">
        <f>BT6</f>
        <v>69572851.70999998</v>
      </c>
      <c r="BV6" s="223">
        <f>+'Unutilised grants'!J443</f>
        <v>52903092.760000005</v>
      </c>
      <c r="BW6" s="224">
        <f>BV6</f>
        <v>52903092.760000005</v>
      </c>
      <c r="BX6" s="223">
        <f>'Unutilised grants'!J453</f>
        <v>99684999.78999999</v>
      </c>
      <c r="BY6" s="224">
        <f>BX6</f>
        <v>99684999.78999999</v>
      </c>
      <c r="BZ6" s="223">
        <f>'Unutilised grants'!J465</f>
        <v>90086925.64</v>
      </c>
      <c r="CA6" s="224">
        <f>BZ6</f>
        <v>90086925.64</v>
      </c>
      <c r="CB6" s="223">
        <f>+'Unutilised grants'!J478</f>
        <v>66180778.72</v>
      </c>
      <c r="CC6" s="224">
        <f>CB6</f>
        <v>66180778.72</v>
      </c>
      <c r="CD6" s="223">
        <f>'Unutilised grants'!J490</f>
        <v>61217317.830000006</v>
      </c>
      <c r="CE6" s="224">
        <f>CD6</f>
        <v>61217317.830000006</v>
      </c>
      <c r="CF6" s="223">
        <f>'Unutilised grants'!J503</f>
        <v>45931742.95999999</v>
      </c>
      <c r="CG6" s="224">
        <f>CF6</f>
        <v>45931742.95999999</v>
      </c>
      <c r="CH6" s="223">
        <f>'Unutilised grants'!J515</f>
        <v>61868272.440000005</v>
      </c>
      <c r="CI6" s="224">
        <f>CH6</f>
        <v>61868272.440000005</v>
      </c>
      <c r="CJ6" s="223">
        <f>+'Unutilised grants'!J527</f>
        <v>59288913.42</v>
      </c>
      <c r="CK6" s="224">
        <f>CJ6</f>
        <v>59288913.42</v>
      </c>
      <c r="CL6" s="223">
        <f>'Unutilised grants'!J539</f>
        <v>49583698.849999994</v>
      </c>
      <c r="CM6" s="224">
        <f>CL6</f>
        <v>49583698.849999994</v>
      </c>
      <c r="CN6" s="223">
        <f>+'Unutilised grants'!J551-3000000</f>
        <v>59182914.78999996</v>
      </c>
      <c r="CO6" s="224">
        <f>CN6</f>
        <v>59182914.78999996</v>
      </c>
      <c r="CP6" s="223">
        <f>'Unutilised grants'!J563</f>
        <v>60785522.729999974</v>
      </c>
      <c r="CQ6" s="224">
        <f>CP6</f>
        <v>60785522.729999974</v>
      </c>
      <c r="CR6" s="223">
        <f>'Unutilised grants'!J575-9081000</f>
        <v>37206131.06999999</v>
      </c>
      <c r="CS6" s="224">
        <f>CR6</f>
        <v>37206131.06999999</v>
      </c>
      <c r="CT6" s="223">
        <f>'Unutilised grants'!J587</f>
        <v>23252343.669999994</v>
      </c>
      <c r="CU6" s="224">
        <f>CT6</f>
        <v>23252343.669999994</v>
      </c>
      <c r="CV6" s="223">
        <f>'Unutilised grants'!J599-39332000</f>
        <v>34764589.64</v>
      </c>
      <c r="CW6" s="224">
        <f>CV6</f>
        <v>34764589.64</v>
      </c>
      <c r="CX6" s="223">
        <f>'Unutilised grants'!J610</f>
        <v>67090779.620000005</v>
      </c>
      <c r="CY6" s="224">
        <f>CX6</f>
        <v>67090779.620000005</v>
      </c>
      <c r="CZ6" s="223">
        <f>'Unutilised grants'!J622</f>
        <v>55221272.510000005</v>
      </c>
      <c r="DA6" s="224">
        <f>CZ6</f>
        <v>55221272.510000005</v>
      </c>
      <c r="DB6" s="223">
        <f>+'Unutilised grants'!J636</f>
        <v>46595472.41000001</v>
      </c>
      <c r="DC6" s="224">
        <f>DB6</f>
        <v>46595472.41000001</v>
      </c>
      <c r="DD6" s="223">
        <f>'Unutilised grants'!J650</f>
        <v>39794670.379999995</v>
      </c>
      <c r="DE6" s="224">
        <f>DD6</f>
        <v>39794670.379999995</v>
      </c>
      <c r="DF6" s="223">
        <f>'Unutilised grants'!J662</f>
        <v>63852308.00999999</v>
      </c>
      <c r="DG6" s="224">
        <f>DF6</f>
        <v>63852308.00999999</v>
      </c>
      <c r="DH6" s="223">
        <f>'Unutilised grants'!J673</f>
        <v>50590066.42</v>
      </c>
      <c r="DI6" s="224">
        <f>DH6</f>
        <v>50590066.42</v>
      </c>
    </row>
    <row r="7" spans="1:113" ht="12.75">
      <c r="A7" s="210" t="s">
        <v>191</v>
      </c>
      <c r="B7" s="223">
        <f>+'Consumer deposits'!N29</f>
        <v>4224718.32</v>
      </c>
      <c r="C7" s="224">
        <f aca="true" t="shared" si="0" ref="C7:C16">B7</f>
        <v>4224718.32</v>
      </c>
      <c r="D7" s="223">
        <f>+'Consumer deposits'!C61</f>
        <v>4267184.32</v>
      </c>
      <c r="E7" s="224">
        <f aca="true" t="shared" si="1" ref="E7:E16">D7</f>
        <v>4267184.32</v>
      </c>
      <c r="F7" s="223">
        <f>+'Consumer deposits'!D61</f>
        <v>4264898.04</v>
      </c>
      <c r="G7" s="224">
        <f aca="true" t="shared" si="2" ref="G7:G16">F7</f>
        <v>4264898.04</v>
      </c>
      <c r="H7" s="223">
        <f>+'Consumer deposits'!E61</f>
        <v>4285027.49</v>
      </c>
      <c r="I7" s="224">
        <f aca="true" t="shared" si="3" ref="I7:I16">H7</f>
        <v>4285027.49</v>
      </c>
      <c r="J7" s="223">
        <f>+'Consumer deposits'!F61</f>
        <v>4292224.54</v>
      </c>
      <c r="K7" s="224">
        <f aca="true" t="shared" si="4" ref="K7:K16">J7</f>
        <v>4292224.54</v>
      </c>
      <c r="L7" s="223">
        <f>+'Consumer deposits'!G61</f>
        <v>4347188.97</v>
      </c>
      <c r="M7" s="224">
        <f aca="true" t="shared" si="5" ref="M7:M16">L7</f>
        <v>4347188.97</v>
      </c>
      <c r="N7" s="223">
        <f>+'Consumer deposits'!H61</f>
        <v>4363363.9</v>
      </c>
      <c r="O7" s="224">
        <f aca="true" t="shared" si="6" ref="O7:O16">N7</f>
        <v>4363363.9</v>
      </c>
      <c r="P7" s="223">
        <f>+'Consumer deposits'!I61</f>
        <v>4366202.96</v>
      </c>
      <c r="Q7" s="224">
        <f aca="true" t="shared" si="7" ref="Q7:Q16">P7</f>
        <v>4366202.96</v>
      </c>
      <c r="R7" s="223">
        <f>+'Consumer deposits'!J61</f>
        <v>4402517.46</v>
      </c>
      <c r="S7" s="224">
        <f aca="true" t="shared" si="8" ref="S7:S16">R7</f>
        <v>4402517.46</v>
      </c>
      <c r="T7" s="223">
        <f>+'Consumer deposits'!K61</f>
        <v>4439131.66</v>
      </c>
      <c r="U7" s="224">
        <f aca="true" t="shared" si="9" ref="U7:U16">T7</f>
        <v>4439131.66</v>
      </c>
      <c r="V7" s="223">
        <f>+'Consumer deposits'!L61</f>
        <v>4441481.66</v>
      </c>
      <c r="W7" s="224">
        <f aca="true" t="shared" si="10" ref="W7:W16">V7</f>
        <v>4441481.66</v>
      </c>
      <c r="X7" s="223">
        <f>+'Consumer deposits'!M61</f>
        <v>4462371.4</v>
      </c>
      <c r="Y7" s="224">
        <f aca="true" t="shared" si="11" ref="Y7:Y16">X7</f>
        <v>4462371.4</v>
      </c>
      <c r="Z7" s="223">
        <v>3680515</v>
      </c>
      <c r="AA7" s="224">
        <f>Z7</f>
        <v>3680515</v>
      </c>
      <c r="AB7" s="223">
        <f>+'Consumer deposits'!C92</f>
        <v>4590818.619999999</v>
      </c>
      <c r="AC7" s="224">
        <f>AB7</f>
        <v>4590818.619999999</v>
      </c>
      <c r="AD7" s="223">
        <f>+'Consumer deposits'!D92</f>
        <v>4624672.619999999</v>
      </c>
      <c r="AE7" s="224">
        <f>AD7</f>
        <v>4624672.619999999</v>
      </c>
      <c r="AF7" s="223">
        <f>+'Consumer deposits'!E92</f>
        <v>4656737.789999999</v>
      </c>
      <c r="AG7" s="224">
        <f>AF7</f>
        <v>4656737.789999999</v>
      </c>
      <c r="AH7" s="223">
        <f>+'Consumer deposits'!F92</f>
        <v>4704304.789999999</v>
      </c>
      <c r="AI7" s="224">
        <f>AH7</f>
        <v>4704304.789999999</v>
      </c>
      <c r="AJ7" s="223">
        <f>+'Consumer deposits'!G92</f>
        <v>4709828.389999999</v>
      </c>
      <c r="AK7" s="224">
        <f>AJ7</f>
        <v>4709828.389999999</v>
      </c>
      <c r="AL7" s="223">
        <f>+'Consumer deposits'!H92</f>
        <v>4693717.789999999</v>
      </c>
      <c r="AM7" s="224">
        <f>AL7</f>
        <v>4693717.789999999</v>
      </c>
      <c r="AN7" s="223">
        <f>+'Consumer deposits'!I92</f>
        <v>4701041.789999999</v>
      </c>
      <c r="AO7" s="224">
        <f>AN7</f>
        <v>4701041.789999999</v>
      </c>
      <c r="AP7" s="223">
        <f>+'Consumer deposits'!J92</f>
        <v>4697220.789999999</v>
      </c>
      <c r="AQ7" s="224">
        <f>AP7</f>
        <v>4697220.789999999</v>
      </c>
      <c r="AR7" s="223">
        <f>+'Consumer deposits'!K92</f>
        <v>4727786.789999999</v>
      </c>
      <c r="AS7" s="224">
        <f>AR7</f>
        <v>4727786.789999999</v>
      </c>
      <c r="AT7" s="223">
        <f>+'Consumer deposits'!L92</f>
        <v>4789752.789999999</v>
      </c>
      <c r="AU7" s="224">
        <f>AT7</f>
        <v>4789752.789999999</v>
      </c>
      <c r="AV7" s="223">
        <f>+'Consumer deposits'!M92</f>
        <v>4789582.789999999</v>
      </c>
      <c r="AW7" s="224">
        <f>AV7</f>
        <v>4789582.789999999</v>
      </c>
      <c r="AX7" s="223">
        <f>+'Consumer deposits'!N92</f>
        <v>4176589.4200000004</v>
      </c>
      <c r="AY7" s="224">
        <f>AX7</f>
        <v>4176589.4200000004</v>
      </c>
      <c r="AZ7" s="223">
        <f>'Consumer deposits'!C125</f>
        <v>4212634.87</v>
      </c>
      <c r="BA7" s="224">
        <f>AZ7</f>
        <v>4212634.87</v>
      </c>
      <c r="BB7" s="223">
        <f>+'Consumer deposits'!D125</f>
        <v>4232705</v>
      </c>
      <c r="BC7" s="224">
        <f>BB7</f>
        <v>4232705</v>
      </c>
      <c r="BD7" s="223">
        <f>'Consumer deposits'!E125</f>
        <v>4241177.87</v>
      </c>
      <c r="BE7" s="224">
        <f>BD7</f>
        <v>4241177.87</v>
      </c>
      <c r="BF7" s="223">
        <f>+'Consumer deposits'!F125</f>
        <v>4251331</v>
      </c>
      <c r="BG7" s="224">
        <f>BF7</f>
        <v>4251331</v>
      </c>
      <c r="BH7" s="223">
        <f>+'Consumer deposits'!G125</f>
        <v>4267831</v>
      </c>
      <c r="BI7" s="224">
        <f>BH7</f>
        <v>4267831</v>
      </c>
      <c r="BJ7" s="223">
        <f>+'Consumer deposits'!H125</f>
        <v>4274431</v>
      </c>
      <c r="BK7" s="224">
        <f>BJ7</f>
        <v>4274431</v>
      </c>
      <c r="BL7" s="223">
        <f>+'Consumer deposits'!I125</f>
        <v>4260936</v>
      </c>
      <c r="BM7" s="224">
        <f>BL7</f>
        <v>4260936</v>
      </c>
      <c r="BN7" s="223">
        <f>+'Consumer deposits'!J125</f>
        <v>4267436</v>
      </c>
      <c r="BO7" s="224">
        <f>BN7</f>
        <v>4267436</v>
      </c>
      <c r="BP7" s="223">
        <f>+'Consumer deposits'!K125</f>
        <v>4283436</v>
      </c>
      <c r="BQ7" s="224">
        <f>BP7</f>
        <v>4283436</v>
      </c>
      <c r="BR7" s="223">
        <f>+'Consumer deposits'!L125</f>
        <v>4294436</v>
      </c>
      <c r="BS7" s="224">
        <f>BR7</f>
        <v>4294436</v>
      </c>
      <c r="BT7" s="223">
        <f>'Consumer deposits'!M125</f>
        <v>4301486</v>
      </c>
      <c r="BU7" s="224">
        <f>BT7</f>
        <v>4301486</v>
      </c>
      <c r="BV7" s="223">
        <f>+'Consumer deposits'!N125</f>
        <v>4312486</v>
      </c>
      <c r="BW7" s="224">
        <f>BV7</f>
        <v>4312486</v>
      </c>
      <c r="BX7" s="223">
        <f>'Consumer deposits'!C155</f>
        <v>4322055</v>
      </c>
      <c r="BY7" s="224">
        <f>BX7</f>
        <v>4322055</v>
      </c>
      <c r="BZ7" s="223">
        <f>'Consumer deposits'!D155</f>
        <v>4563585</v>
      </c>
      <c r="CA7" s="224">
        <f>BZ7</f>
        <v>4563585</v>
      </c>
      <c r="CB7" s="223">
        <f>+'Consumer deposits'!E155</f>
        <v>4570685</v>
      </c>
      <c r="CC7" s="224">
        <f>CB7</f>
        <v>4570685</v>
      </c>
      <c r="CD7" s="223">
        <f>+'Consumer deposits'!F155</f>
        <v>4028102.76</v>
      </c>
      <c r="CE7" s="224">
        <f>CD7</f>
        <v>4028102.76</v>
      </c>
      <c r="CF7" s="223">
        <f>'Consumer deposits'!G155</f>
        <v>4630031.84</v>
      </c>
      <c r="CG7" s="224">
        <f>CF7</f>
        <v>4630031.84</v>
      </c>
      <c r="CH7" s="223">
        <f>'Consumer deposits'!H155</f>
        <v>4627795.71</v>
      </c>
      <c r="CI7" s="224">
        <f>CH7</f>
        <v>4627795.71</v>
      </c>
      <c r="CJ7" s="223">
        <f>'Consumer deposits'!I155</f>
        <v>4644998.71</v>
      </c>
      <c r="CK7" s="224">
        <f>CJ7</f>
        <v>4644998.71</v>
      </c>
      <c r="CL7" s="223">
        <f>'Consumer deposits'!J155</f>
        <v>4460117.27</v>
      </c>
      <c r="CM7" s="224">
        <f>CL7</f>
        <v>4460117.27</v>
      </c>
      <c r="CN7" s="223">
        <f>'Consumer deposits'!K155</f>
        <v>4429062.85</v>
      </c>
      <c r="CO7" s="224">
        <f>CN7</f>
        <v>4429062.85</v>
      </c>
      <c r="CP7" s="223">
        <f>'Consumer deposits'!L155</f>
        <v>4429933.27</v>
      </c>
      <c r="CQ7" s="224">
        <f>CP7</f>
        <v>4429933.27</v>
      </c>
      <c r="CR7" s="223">
        <f>'Consumer deposits'!M155</f>
        <v>4703916.14</v>
      </c>
      <c r="CS7" s="224">
        <f>CR7</f>
        <v>4703916.14</v>
      </c>
      <c r="CT7" s="223">
        <f>'Consumer deposits'!N155</f>
        <v>4638892.84</v>
      </c>
      <c r="CU7" s="224">
        <f>CT7</f>
        <v>4638892.84</v>
      </c>
      <c r="CV7" s="223">
        <f>'Consumer deposits'!C190</f>
        <v>4729108</v>
      </c>
      <c r="CW7" s="224">
        <f>CV7</f>
        <v>4729108</v>
      </c>
      <c r="CX7" s="223">
        <f>'Consumer deposits'!D190</f>
        <v>4738688</v>
      </c>
      <c r="CY7" s="224">
        <f>CX7</f>
        <v>4738688</v>
      </c>
      <c r="CZ7" s="223">
        <f>'Consumer deposits'!E190</f>
        <v>4751095.090000001</v>
      </c>
      <c r="DA7" s="224">
        <f>CZ7</f>
        <v>4751095.090000001</v>
      </c>
      <c r="DB7" s="223">
        <f>+'Consumer deposits'!F190</f>
        <v>4769640.11</v>
      </c>
      <c r="DC7" s="224">
        <f>DB7</f>
        <v>4769640.11</v>
      </c>
      <c r="DD7" s="223">
        <f>'Consumer deposits'!G190</f>
        <v>4785385.11</v>
      </c>
      <c r="DE7" s="224">
        <f>DD7</f>
        <v>4785385.11</v>
      </c>
      <c r="DF7" s="223">
        <f>'Consumer deposits'!H190</f>
        <v>4781411.999999999</v>
      </c>
      <c r="DG7" s="224">
        <f>DF7</f>
        <v>4781411.999999999</v>
      </c>
      <c r="DH7" s="223">
        <f>'Consumer deposits'!I190</f>
        <v>4798329.8</v>
      </c>
      <c r="DI7" s="224">
        <f>DH7</f>
        <v>4798329.8</v>
      </c>
    </row>
    <row r="8" spans="1:113" ht="12.75">
      <c r="A8" s="210" t="s">
        <v>220</v>
      </c>
      <c r="B8" s="231">
        <f>+'EFF Summary Nov 2012 till'!FP6+'EFF Summary Nov 2012 till'!FP7</f>
        <v>16777335.370000016</v>
      </c>
      <c r="C8" s="224">
        <f t="shared" si="0"/>
        <v>16777335.370000016</v>
      </c>
      <c r="D8" s="231">
        <f>+'EFF Summary Nov 2012 till'!FU15</f>
        <v>14172945.160000015</v>
      </c>
      <c r="E8" s="224">
        <f t="shared" si="1"/>
        <v>14172945.160000015</v>
      </c>
      <c r="F8" s="231">
        <f>+'EFF Summary Nov 2012 till'!FZ15</f>
        <v>11753361.770000014</v>
      </c>
      <c r="G8" s="224">
        <f t="shared" si="2"/>
        <v>11753361.770000014</v>
      </c>
      <c r="H8" s="231">
        <f>+'EFF Summary Nov 2012 till'!GE15</f>
        <v>9859421.310000014</v>
      </c>
      <c r="I8" s="224">
        <f t="shared" si="3"/>
        <v>9859421.310000014</v>
      </c>
      <c r="J8" s="231">
        <f>+'EFF Summary Nov 2012 till'!GJ15</f>
        <v>6956400.040000014</v>
      </c>
      <c r="K8" s="224">
        <f t="shared" si="4"/>
        <v>6956400.040000014</v>
      </c>
      <c r="L8" s="231">
        <f>+'EFF Summary Nov 2012 till'!GO15</f>
        <v>5500096.900000014</v>
      </c>
      <c r="M8" s="224">
        <f t="shared" si="5"/>
        <v>5500096.900000014</v>
      </c>
      <c r="N8" s="231">
        <f>+'EFF Summary Nov 2012 till'!GT15</f>
        <v>4874887.360000014</v>
      </c>
      <c r="O8" s="224">
        <f t="shared" si="6"/>
        <v>4874887.360000014</v>
      </c>
      <c r="P8" s="231">
        <f>+'EFF Summary Nov 2012 till'!GY15</f>
        <v>4407684.700000014</v>
      </c>
      <c r="Q8" s="224">
        <f t="shared" si="7"/>
        <v>4407684.700000014</v>
      </c>
      <c r="R8" s="231">
        <f>+'EFF Summary Nov 2012 till'!HD15</f>
        <v>4766499.160000014</v>
      </c>
      <c r="S8" s="224">
        <f t="shared" si="8"/>
        <v>4766499.160000014</v>
      </c>
      <c r="T8" s="231">
        <f>+'EFF Summary Nov 2012 till'!HI15</f>
        <v>2176410.950000014</v>
      </c>
      <c r="U8" s="224">
        <f t="shared" si="9"/>
        <v>2176410.950000014</v>
      </c>
      <c r="V8" s="231">
        <f>+'EFF Summary Nov 2012 till'!HN15</f>
        <v>-1251489.9499999858</v>
      </c>
      <c r="W8" s="224">
        <f t="shared" si="10"/>
        <v>-1251489.9499999858</v>
      </c>
      <c r="X8" s="231">
        <v>21923602</v>
      </c>
      <c r="Y8" s="224">
        <f>X8</f>
        <v>21923602</v>
      </c>
      <c r="Z8" s="231">
        <v>22628117</v>
      </c>
      <c r="AA8" s="224">
        <v>22628117</v>
      </c>
      <c r="AB8" s="231">
        <v>21923602</v>
      </c>
      <c r="AC8" s="224">
        <f>AB8</f>
        <v>21923602</v>
      </c>
      <c r="AD8" s="231">
        <v>21923602</v>
      </c>
      <c r="AE8" s="224">
        <f>AD8</f>
        <v>21923602</v>
      </c>
      <c r="AF8" s="231">
        <v>21923602</v>
      </c>
      <c r="AG8" s="224">
        <f>AF8</f>
        <v>21923602</v>
      </c>
      <c r="AH8" s="231">
        <v>16621163</v>
      </c>
      <c r="AI8" s="224">
        <f>AH8</f>
        <v>16621163</v>
      </c>
      <c r="AJ8" s="231">
        <v>946806</v>
      </c>
      <c r="AK8" s="224">
        <f>AJ8</f>
        <v>946806</v>
      </c>
      <c r="AL8" s="231">
        <v>946806</v>
      </c>
      <c r="AM8" s="224">
        <f>AL8</f>
        <v>946806</v>
      </c>
      <c r="AN8" s="231">
        <v>16438108</v>
      </c>
      <c r="AO8" s="224">
        <f>AN8</f>
        <v>16438108</v>
      </c>
      <c r="AP8" s="231">
        <v>16438108</v>
      </c>
      <c r="AQ8" s="224">
        <f>AP8</f>
        <v>16438108</v>
      </c>
      <c r="AR8" s="231">
        <v>17199997</v>
      </c>
      <c r="AS8" s="224">
        <f>AR8</f>
        <v>17199997</v>
      </c>
      <c r="AT8" s="231">
        <v>17199997</v>
      </c>
      <c r="AU8" s="224">
        <f>AT8</f>
        <v>17199997</v>
      </c>
      <c r="AV8" s="231">
        <v>17199997</v>
      </c>
      <c r="AW8" s="224">
        <f>AV8</f>
        <v>17199997</v>
      </c>
      <c r="AX8" s="231">
        <v>17199997</v>
      </c>
      <c r="AY8" s="288">
        <f>AX8</f>
        <v>17199997</v>
      </c>
      <c r="AZ8" s="231">
        <v>17199997</v>
      </c>
      <c r="BA8" s="288">
        <f>AZ8</f>
        <v>17199997</v>
      </c>
      <c r="BB8" s="231">
        <v>17199997</v>
      </c>
      <c r="BC8" s="288">
        <f>BB8</f>
        <v>17199997</v>
      </c>
      <c r="BD8" s="231">
        <v>13381507</v>
      </c>
      <c r="BE8" s="288">
        <f>BD8</f>
        <v>13381507</v>
      </c>
      <c r="BF8" s="231">
        <v>13381507</v>
      </c>
      <c r="BG8" s="288">
        <f>BF8</f>
        <v>13381507</v>
      </c>
      <c r="BH8" s="231">
        <v>13381507</v>
      </c>
      <c r="BI8" s="288">
        <f>BH8</f>
        <v>13381507</v>
      </c>
      <c r="BJ8" s="231">
        <v>13381507</v>
      </c>
      <c r="BK8" s="288">
        <f>BJ8</f>
        <v>13381507</v>
      </c>
      <c r="BL8" s="231">
        <v>13381507</v>
      </c>
      <c r="BM8" s="288">
        <f>BL8</f>
        <v>13381507</v>
      </c>
      <c r="BN8" s="231">
        <v>13381507</v>
      </c>
      <c r="BO8" s="288">
        <f>BN8</f>
        <v>13381507</v>
      </c>
      <c r="BP8" s="231">
        <v>9427059</v>
      </c>
      <c r="BQ8" s="288">
        <f>BP8</f>
        <v>9427059</v>
      </c>
      <c r="BR8" s="231">
        <v>9427059</v>
      </c>
      <c r="BS8" s="288">
        <f>BR8</f>
        <v>9427059</v>
      </c>
      <c r="BT8" s="231">
        <v>9427059</v>
      </c>
      <c r="BU8" s="288">
        <f>BT8</f>
        <v>9427059</v>
      </c>
      <c r="BV8" s="231">
        <f>BW8</f>
        <v>6442210.320000027</v>
      </c>
      <c r="BW8" s="288">
        <f>'Eff from Nov 2016'!CX15</f>
        <v>6442210.320000027</v>
      </c>
      <c r="BX8" s="231">
        <f>'Eff from Nov 2016'!DC15</f>
        <v>6442210.320000027</v>
      </c>
      <c r="BY8" s="347">
        <f>BX8</f>
        <v>6442210.320000027</v>
      </c>
      <c r="BZ8" s="349">
        <f>'Eff from Nov 2016'!DH15</f>
        <v>6442210.320000027</v>
      </c>
      <c r="CA8" s="347">
        <f>BZ8</f>
        <v>6442210.320000027</v>
      </c>
      <c r="CB8" s="349">
        <f>+'Eff from Nov 2016'!DM15</f>
        <v>6442210.320000027</v>
      </c>
      <c r="CC8" s="347">
        <f>CB8</f>
        <v>6442210.320000027</v>
      </c>
      <c r="CD8" s="349">
        <v>6442210</v>
      </c>
      <c r="CE8" s="347">
        <f>CD8</f>
        <v>6442210</v>
      </c>
      <c r="CF8" s="349">
        <f>'Eff from Nov 2016'!DW15</f>
        <v>6066185.320000027</v>
      </c>
      <c r="CG8" s="347">
        <f>CF8</f>
        <v>6066185.320000027</v>
      </c>
      <c r="CH8" s="349">
        <f>'Eff from Nov 2016'!EB15</f>
        <v>5915774.320000027</v>
      </c>
      <c r="CI8" s="347">
        <f>CH8</f>
        <v>5915774.320000027</v>
      </c>
      <c r="CJ8" s="349">
        <f>'Eff from Nov 2016'!EG15</f>
        <v>5915774.320000027</v>
      </c>
      <c r="CK8" s="347">
        <f>CJ8</f>
        <v>5915774.320000027</v>
      </c>
      <c r="CL8" s="349">
        <f>'Eff from Nov 2016'!EL6</f>
        <v>4800598.320000027</v>
      </c>
      <c r="CM8" s="347">
        <f>CL8</f>
        <v>4800598.320000027</v>
      </c>
      <c r="CN8" s="349">
        <f>'Eff from Nov 2016'!EQ6</f>
        <v>1424267.3200000273</v>
      </c>
      <c r="CO8" s="347">
        <f>CN8</f>
        <v>1424267.3200000273</v>
      </c>
      <c r="CP8" s="349">
        <f>'Eff from Nov 2016'!EV6</f>
        <v>1237442.3200000273</v>
      </c>
      <c r="CQ8" s="347">
        <f>CP8</f>
        <v>1237442.3200000273</v>
      </c>
      <c r="CR8" s="349">
        <f>+'Eff from Nov 2016'!FA15</f>
        <v>1219235.3200000273</v>
      </c>
      <c r="CS8" s="347">
        <f>CR8</f>
        <v>1219235.3200000273</v>
      </c>
      <c r="CT8" s="349">
        <f>'Eff from Nov 2016'!FF15</f>
        <v>1020001.0000000272</v>
      </c>
      <c r="CU8" s="347">
        <f>CT8</f>
        <v>1020001.0000000272</v>
      </c>
      <c r="CV8" s="349">
        <f>'Eff from Nov 2016'!FK15</f>
        <v>261793.00000002724</v>
      </c>
      <c r="CW8" s="347">
        <f>CV8</f>
        <v>261793.00000002724</v>
      </c>
      <c r="CX8" s="349">
        <f>'Eff from Nov 2016'!FP15</f>
        <v>261793.00000002724</v>
      </c>
      <c r="CY8" s="347">
        <f>CX8</f>
        <v>261793.00000002724</v>
      </c>
      <c r="CZ8" s="349">
        <f>'Eff from Nov 2016'!FU15</f>
        <v>261793.00000002724</v>
      </c>
      <c r="DA8" s="347">
        <f>CZ8</f>
        <v>261793.00000002724</v>
      </c>
      <c r="DB8" s="349">
        <f>'Eff from Nov 2016'!FU15</f>
        <v>261793.00000002724</v>
      </c>
      <c r="DC8" s="347">
        <f>DB8</f>
        <v>261793.00000002724</v>
      </c>
      <c r="DD8" s="349">
        <f>'Eff from Nov 2016'!FZ15</f>
        <v>261793.00000002724</v>
      </c>
      <c r="DE8" s="347">
        <f>DD8</f>
        <v>261793.00000002724</v>
      </c>
      <c r="DF8" s="349">
        <f>'Eff from Nov 2016'!GE6</f>
        <v>261793.00000002724</v>
      </c>
      <c r="DG8" s="347">
        <f>DF8</f>
        <v>261793.00000002724</v>
      </c>
      <c r="DH8" s="349">
        <f>'Eff from Nov 2016'!GJ15</f>
        <v>261793.00000002724</v>
      </c>
      <c r="DI8" s="347">
        <f>DH8</f>
        <v>261793.00000002724</v>
      </c>
    </row>
    <row r="9" spans="1:113" ht="12.75">
      <c r="A9" s="210" t="s">
        <v>421</v>
      </c>
      <c r="B9" s="231"/>
      <c r="C9" s="224"/>
      <c r="D9" s="231"/>
      <c r="E9" s="224"/>
      <c r="F9" s="231"/>
      <c r="G9" s="224"/>
      <c r="H9" s="231"/>
      <c r="I9" s="224"/>
      <c r="J9" s="231"/>
      <c r="K9" s="224"/>
      <c r="L9" s="231"/>
      <c r="M9" s="224"/>
      <c r="N9" s="231"/>
      <c r="O9" s="224"/>
      <c r="P9" s="231"/>
      <c r="Q9" s="224"/>
      <c r="R9" s="231"/>
      <c r="S9" s="224"/>
      <c r="T9" s="231"/>
      <c r="U9" s="224"/>
      <c r="V9" s="231"/>
      <c r="W9" s="224"/>
      <c r="X9" s="231"/>
      <c r="Y9" s="224">
        <v>35108732.64</v>
      </c>
      <c r="Z9" s="231"/>
      <c r="AA9" s="224">
        <v>30852363.143</v>
      </c>
      <c r="AB9" s="231"/>
      <c r="AC9" s="224">
        <v>30393225.19</v>
      </c>
      <c r="AD9" s="231"/>
      <c r="AE9" s="224">
        <v>27969570.58</v>
      </c>
      <c r="AF9" s="231"/>
      <c r="AG9" s="224">
        <v>27141757.86</v>
      </c>
      <c r="AH9" s="231"/>
      <c r="AI9" s="224">
        <v>31261580.33</v>
      </c>
      <c r="AJ9" s="231"/>
      <c r="AK9" s="224">
        <v>45666749.16</v>
      </c>
      <c r="AL9" s="231"/>
      <c r="AM9" s="224">
        <v>45666749.16</v>
      </c>
      <c r="AN9" s="231"/>
      <c r="AO9" s="224">
        <v>29479737</v>
      </c>
      <c r="AP9" s="231"/>
      <c r="AQ9" s="224">
        <v>29077968.95</v>
      </c>
      <c r="AR9" s="231"/>
      <c r="AS9" s="224">
        <v>28087609.40000003</v>
      </c>
      <c r="AT9" s="231"/>
      <c r="AU9" s="224">
        <v>25269088.56</v>
      </c>
      <c r="AV9" s="231"/>
      <c r="AW9" s="224">
        <v>22768165.96</v>
      </c>
      <c r="AX9" s="231"/>
      <c r="AY9" s="288">
        <v>10772770.470000029</v>
      </c>
      <c r="AZ9" s="231"/>
      <c r="BA9" s="288">
        <v>9809186.08</v>
      </c>
      <c r="BB9" s="231"/>
      <c r="BC9" s="288">
        <v>9387139.9</v>
      </c>
      <c r="BD9" s="231"/>
      <c r="BE9" s="288">
        <v>11868157.17</v>
      </c>
      <c r="BF9" s="231"/>
      <c r="BG9" s="288">
        <v>11788297.17</v>
      </c>
      <c r="BH9" s="231"/>
      <c r="BI9" s="288">
        <v>9993780.93</v>
      </c>
      <c r="BJ9" s="231"/>
      <c r="BK9" s="288">
        <v>4884802.38</v>
      </c>
      <c r="BL9" s="231"/>
      <c r="BM9" s="288">
        <v>3092348.55</v>
      </c>
      <c r="BN9" s="231"/>
      <c r="BO9" s="288">
        <v>2737074.82</v>
      </c>
      <c r="BP9" s="231"/>
      <c r="BQ9" s="288">
        <v>6598809.16</v>
      </c>
      <c r="BR9" s="231"/>
      <c r="BS9" s="288">
        <v>6598809.16</v>
      </c>
      <c r="BT9" s="231"/>
      <c r="BU9" s="288">
        <v>4969152</v>
      </c>
      <c r="BV9" s="231"/>
      <c r="BW9" s="288">
        <v>0</v>
      </c>
      <c r="BX9" s="231"/>
      <c r="BY9" s="347">
        <v>0</v>
      </c>
      <c r="BZ9" s="349"/>
      <c r="CA9" s="347">
        <v>0</v>
      </c>
      <c r="CB9" s="349"/>
      <c r="CC9" s="347">
        <v>0</v>
      </c>
      <c r="CD9" s="349">
        <v>0</v>
      </c>
      <c r="CE9" s="347">
        <v>0</v>
      </c>
      <c r="CF9" s="349">
        <v>0</v>
      </c>
      <c r="CG9" s="347">
        <v>0</v>
      </c>
      <c r="CH9" s="349">
        <v>0</v>
      </c>
      <c r="CI9" s="347">
        <v>0</v>
      </c>
      <c r="CJ9" s="349">
        <v>0</v>
      </c>
      <c r="CK9" s="347">
        <v>0</v>
      </c>
      <c r="CL9" s="349">
        <v>0</v>
      </c>
      <c r="CM9" s="347">
        <v>0</v>
      </c>
      <c r="CN9" s="349">
        <v>0</v>
      </c>
      <c r="CO9" s="347">
        <v>0</v>
      </c>
      <c r="CP9" s="349">
        <v>0</v>
      </c>
      <c r="CQ9" s="347">
        <v>0</v>
      </c>
      <c r="CR9" s="349">
        <v>0</v>
      </c>
      <c r="CS9" s="347">
        <v>0</v>
      </c>
      <c r="CT9" s="349">
        <v>0</v>
      </c>
      <c r="CU9" s="347">
        <v>0</v>
      </c>
      <c r="CV9" s="349">
        <v>0</v>
      </c>
      <c r="CW9" s="347">
        <v>0</v>
      </c>
      <c r="CX9" s="349"/>
      <c r="CY9" s="347">
        <v>0</v>
      </c>
      <c r="CZ9" s="349"/>
      <c r="DA9" s="347">
        <v>0</v>
      </c>
      <c r="DB9" s="349"/>
      <c r="DC9" s="347">
        <v>0</v>
      </c>
      <c r="DD9" s="349"/>
      <c r="DE9" s="347">
        <v>0</v>
      </c>
      <c r="DF9" s="349"/>
      <c r="DG9" s="347">
        <v>0</v>
      </c>
      <c r="DH9" s="349"/>
      <c r="DI9" s="347">
        <v>0</v>
      </c>
    </row>
    <row r="10" spans="1:113" ht="12.75">
      <c r="A10" s="210" t="s">
        <v>219</v>
      </c>
      <c r="B10" s="223">
        <v>14500002</v>
      </c>
      <c r="C10" s="224">
        <f t="shared" si="0"/>
        <v>14500002</v>
      </c>
      <c r="D10" s="223">
        <v>14500002</v>
      </c>
      <c r="E10" s="224">
        <f t="shared" si="1"/>
        <v>14500002</v>
      </c>
      <c r="F10" s="223">
        <v>14500002</v>
      </c>
      <c r="G10" s="224">
        <f t="shared" si="2"/>
        <v>14500002</v>
      </c>
      <c r="H10" s="223">
        <v>2416700</v>
      </c>
      <c r="I10" s="224">
        <f t="shared" si="3"/>
        <v>2416700</v>
      </c>
      <c r="J10" s="223">
        <f>2416700*2</f>
        <v>4833400</v>
      </c>
      <c r="K10" s="224">
        <f t="shared" si="4"/>
        <v>4833400</v>
      </c>
      <c r="L10" s="223">
        <f>2416700*3</f>
        <v>7250100</v>
      </c>
      <c r="M10" s="224">
        <f t="shared" si="5"/>
        <v>7250100</v>
      </c>
      <c r="N10" s="223">
        <v>9666800</v>
      </c>
      <c r="O10" s="224">
        <f t="shared" si="6"/>
        <v>9666800</v>
      </c>
      <c r="P10" s="223">
        <v>12083500</v>
      </c>
      <c r="Q10" s="224">
        <f t="shared" si="7"/>
        <v>12083500</v>
      </c>
      <c r="R10" s="223">
        <v>14500000</v>
      </c>
      <c r="S10" s="224">
        <f t="shared" si="8"/>
        <v>14500000</v>
      </c>
      <c r="T10" s="223">
        <v>2416700</v>
      </c>
      <c r="U10" s="224">
        <f t="shared" si="9"/>
        <v>2416700</v>
      </c>
      <c r="V10" s="223">
        <v>4833400</v>
      </c>
      <c r="W10" s="224">
        <f t="shared" si="10"/>
        <v>4833400</v>
      </c>
      <c r="X10" s="223">
        <v>7250100</v>
      </c>
      <c r="Y10" s="224">
        <f>X10</f>
        <v>7250100</v>
      </c>
      <c r="Z10" s="223">
        <v>9666667</v>
      </c>
      <c r="AA10" s="224">
        <f aca="true" t="shared" si="12" ref="AA10:AC16">Z10</f>
        <v>9666667</v>
      </c>
      <c r="AB10" s="223">
        <v>12083500</v>
      </c>
      <c r="AC10" s="224">
        <f t="shared" si="12"/>
        <v>12083500</v>
      </c>
      <c r="AD10" s="223">
        <v>14500000</v>
      </c>
      <c r="AE10" s="224">
        <f aca="true" t="shared" si="13" ref="AE10:AE16">AD10</f>
        <v>14500000</v>
      </c>
      <c r="AF10" s="223">
        <v>2416666.67</v>
      </c>
      <c r="AG10" s="224">
        <f aca="true" t="shared" si="14" ref="AG10:AG16">AF10</f>
        <v>2416666.67</v>
      </c>
      <c r="AH10" s="223">
        <v>4833334</v>
      </c>
      <c r="AI10" s="224">
        <f aca="true" t="shared" si="15" ref="AI10:AI16">AH10</f>
        <v>4833334</v>
      </c>
      <c r="AJ10" s="223">
        <v>7250100</v>
      </c>
      <c r="AK10" s="224">
        <f aca="true" t="shared" si="16" ref="AK10:AK16">AJ10</f>
        <v>7250100</v>
      </c>
      <c r="AL10" s="223">
        <v>9666800</v>
      </c>
      <c r="AM10" s="224">
        <f aca="true" t="shared" si="17" ref="AM10:AM16">AL10</f>
        <v>9666800</v>
      </c>
      <c r="AN10" s="223">
        <v>12083500</v>
      </c>
      <c r="AO10" s="224">
        <f aca="true" t="shared" si="18" ref="AO10:AO16">AN10</f>
        <v>12083500</v>
      </c>
      <c r="AP10" s="223">
        <v>14500000</v>
      </c>
      <c r="AQ10" s="224">
        <f aca="true" t="shared" si="19" ref="AQ10:AQ16">AP10</f>
        <v>14500000</v>
      </c>
      <c r="AR10" s="223">
        <v>2416700</v>
      </c>
      <c r="AS10" s="224">
        <f aca="true" t="shared" si="20" ref="AS10:AS16">AR10</f>
        <v>2416700</v>
      </c>
      <c r="AT10" s="223">
        <v>4833400</v>
      </c>
      <c r="AU10" s="224">
        <f aca="true" t="shared" si="21" ref="AU10:AU16">AT10</f>
        <v>4833400</v>
      </c>
      <c r="AV10" s="223">
        <v>7250100</v>
      </c>
      <c r="AW10" s="224">
        <f aca="true" t="shared" si="22" ref="AW10:AW16">AV10</f>
        <v>7250100</v>
      </c>
      <c r="AX10" s="223">
        <v>9666800</v>
      </c>
      <c r="AY10" s="224">
        <f aca="true" t="shared" si="23" ref="AY10:AY16">AX10</f>
        <v>9666800</v>
      </c>
      <c r="AZ10" s="223">
        <v>12083500</v>
      </c>
      <c r="BA10" s="224">
        <f aca="true" t="shared" si="24" ref="BA10:BA16">AZ10</f>
        <v>12083500</v>
      </c>
      <c r="BB10" s="223">
        <v>14500200</v>
      </c>
      <c r="BC10" s="224">
        <f aca="true" t="shared" si="25" ref="BC10:BC16">BB10</f>
        <v>14500200</v>
      </c>
      <c r="BD10" s="223">
        <v>2416700</v>
      </c>
      <c r="BE10" s="224">
        <f aca="true" t="shared" si="26" ref="BE10:BE16">BD10</f>
        <v>2416700</v>
      </c>
      <c r="BF10" s="223">
        <f>2416700+2416700</f>
        <v>4833400</v>
      </c>
      <c r="BG10" s="224">
        <f aca="true" t="shared" si="27" ref="BG10:BG16">BF10</f>
        <v>4833400</v>
      </c>
      <c r="BH10" s="223">
        <f>2416700+2416700+2416700</f>
        <v>7250100</v>
      </c>
      <c r="BI10" s="224">
        <f aca="true" t="shared" si="28" ref="BI10:BI16">BH10</f>
        <v>7250100</v>
      </c>
      <c r="BJ10" s="223">
        <v>9666800</v>
      </c>
      <c r="BK10" s="224">
        <f aca="true" t="shared" si="29" ref="BK10:BK16">BJ10</f>
        <v>9666800</v>
      </c>
      <c r="BL10" s="223">
        <v>12083500</v>
      </c>
      <c r="BM10" s="224">
        <f aca="true" t="shared" si="30" ref="BM10:BM16">BL10</f>
        <v>12083500</v>
      </c>
      <c r="BN10" s="223">
        <v>14500000</v>
      </c>
      <c r="BO10" s="224">
        <f aca="true" t="shared" si="31" ref="BO10:BO16">BN10</f>
        <v>14500000</v>
      </c>
      <c r="BP10" s="223">
        <v>2416700</v>
      </c>
      <c r="BQ10" s="224">
        <f aca="true" t="shared" si="32" ref="BQ10:BQ16">BP10</f>
        <v>2416700</v>
      </c>
      <c r="BR10" s="223">
        <f>2416700*2</f>
        <v>4833400</v>
      </c>
      <c r="BS10" s="224">
        <f aca="true" t="shared" si="33" ref="BS10:BS16">BR10</f>
        <v>4833400</v>
      </c>
      <c r="BT10" s="223">
        <f>2416700*3</f>
        <v>7250100</v>
      </c>
      <c r="BU10" s="224">
        <f aca="true" t="shared" si="34" ref="BU10:BU16">BT10</f>
        <v>7250100</v>
      </c>
      <c r="BV10" s="223">
        <f>2416700*4</f>
        <v>9666800</v>
      </c>
      <c r="BW10" s="224">
        <f aca="true" t="shared" si="35" ref="BW10:BW16">BV10</f>
        <v>9666800</v>
      </c>
      <c r="BX10" s="223">
        <f>2106455.09*5</f>
        <v>10532275.45</v>
      </c>
      <c r="BY10" s="224">
        <f aca="true" t="shared" si="36" ref="BY10:BY16">BX10</f>
        <v>10532275.45</v>
      </c>
      <c r="BZ10" s="223">
        <v>12638730</v>
      </c>
      <c r="CA10" s="224">
        <f aca="true" t="shared" si="37" ref="CA10:CA16">BZ10</f>
        <v>12638730</v>
      </c>
      <c r="CB10" s="223">
        <v>2106455</v>
      </c>
      <c r="CC10" s="224">
        <f aca="true" t="shared" si="38" ref="CC10:CC16">CB10</f>
        <v>2106455</v>
      </c>
      <c r="CD10" s="223">
        <v>2106455</v>
      </c>
      <c r="CE10" s="224">
        <f aca="true" t="shared" si="39" ref="CE10:CE16">CD10</f>
        <v>2106455</v>
      </c>
      <c r="CF10" s="223">
        <v>4212910</v>
      </c>
      <c r="CG10" s="224">
        <f aca="true" t="shared" si="40" ref="CG10:CG16">CF10</f>
        <v>4212910</v>
      </c>
      <c r="CH10" s="223">
        <v>6319365</v>
      </c>
      <c r="CI10" s="224">
        <f aca="true" t="shared" si="41" ref="CI10:CI16">CH10</f>
        <v>6319365</v>
      </c>
      <c r="CJ10" s="223">
        <v>8425820</v>
      </c>
      <c r="CK10" s="224">
        <f aca="true" t="shared" si="42" ref="CK10:CK16">CJ10</f>
        <v>8425820</v>
      </c>
      <c r="CL10" s="223">
        <v>12638730</v>
      </c>
      <c r="CM10" s="224">
        <f aca="true" t="shared" si="43" ref="CM10:CM16">CL10</f>
        <v>12638730</v>
      </c>
      <c r="CN10" s="223">
        <v>2200500</v>
      </c>
      <c r="CO10" s="224">
        <f aca="true" t="shared" si="44" ref="CO10:CO16">CN10</f>
        <v>2200500</v>
      </c>
      <c r="CP10" s="223">
        <v>4401000</v>
      </c>
      <c r="CQ10" s="224">
        <f aca="true" t="shared" si="45" ref="CQ10:CQ16">CP10</f>
        <v>4401000</v>
      </c>
      <c r="CR10" s="223">
        <v>6319365</v>
      </c>
      <c r="CS10" s="224">
        <f aca="true" t="shared" si="46" ref="CS10:CS16">CR10</f>
        <v>6319365</v>
      </c>
      <c r="CT10" s="223">
        <v>8425820</v>
      </c>
      <c r="CU10" s="224">
        <f aca="true" t="shared" si="47" ref="CU10:CU16">CT10</f>
        <v>8425820</v>
      </c>
      <c r="CV10" s="223">
        <v>10532275</v>
      </c>
      <c r="CW10" s="224">
        <f aca="true" t="shared" si="48" ref="CW10:CW16">CV10</f>
        <v>10532275</v>
      </c>
      <c r="CX10" s="223">
        <v>10532275</v>
      </c>
      <c r="CY10" s="224">
        <f aca="true" t="shared" si="49" ref="CY10:CY16">CX10</f>
        <v>10532275</v>
      </c>
      <c r="CZ10" s="223">
        <v>2106455</v>
      </c>
      <c r="DA10" s="224">
        <f aca="true" t="shared" si="50" ref="DA10:DA16">CZ10</f>
        <v>2106455</v>
      </c>
      <c r="DB10" s="223">
        <v>4212910</v>
      </c>
      <c r="DC10" s="224">
        <f aca="true" t="shared" si="51" ref="DC10:DC16">DB10</f>
        <v>4212910</v>
      </c>
      <c r="DD10" s="223">
        <v>6319365</v>
      </c>
      <c r="DE10" s="224">
        <f aca="true" t="shared" si="52" ref="DE10:DE16">DD10</f>
        <v>6319365</v>
      </c>
      <c r="DF10" s="223">
        <v>8425820</v>
      </c>
      <c r="DG10" s="224">
        <f aca="true" t="shared" si="53" ref="DG10:DG16">DF10</f>
        <v>8425820</v>
      </c>
      <c r="DH10" s="223">
        <f>10532275</f>
        <v>10532275</v>
      </c>
      <c r="DI10" s="224">
        <f aca="true" t="shared" si="54" ref="DI10:DI16">DH10</f>
        <v>10532275</v>
      </c>
    </row>
    <row r="11" spans="1:113" ht="12.75">
      <c r="A11" s="210" t="s">
        <v>1</v>
      </c>
      <c r="B11" s="223">
        <f>'Self insurrance from 2011'!GM6+'Self insurrance from 2011'!GM7</f>
        <v>4715725.170000003</v>
      </c>
      <c r="C11" s="224">
        <f t="shared" si="0"/>
        <v>4715725.170000003</v>
      </c>
      <c r="D11" s="223">
        <f>+'Self insurrance from 2011'!GQ6</f>
        <v>4730594.330000003</v>
      </c>
      <c r="E11" s="224">
        <f t="shared" si="1"/>
        <v>4730594.330000003</v>
      </c>
      <c r="F11" s="223">
        <f>+'Self insurrance from 2011'!GU6</f>
        <v>4729159.570000003</v>
      </c>
      <c r="G11" s="224">
        <f t="shared" si="2"/>
        <v>4729159.570000003</v>
      </c>
      <c r="H11" s="223">
        <f>+'Self insurrance from 2011'!GY6</f>
        <v>4730055.320000003</v>
      </c>
      <c r="I11" s="224">
        <f t="shared" si="3"/>
        <v>4730055.320000003</v>
      </c>
      <c r="J11" s="223">
        <f>+'Self insurrance from 2011'!HC6</f>
        <v>4744924.480000003</v>
      </c>
      <c r="K11" s="224">
        <f t="shared" si="4"/>
        <v>4744924.480000003</v>
      </c>
      <c r="L11" s="223">
        <f>+'Self insurrance from 2011'!HG6</f>
        <v>4752685.930000003</v>
      </c>
      <c r="M11" s="224">
        <f t="shared" si="5"/>
        <v>4752685.930000003</v>
      </c>
      <c r="N11" s="223">
        <f>+'Self insurrance from 2011'!HK6</f>
        <v>4758955.090000004</v>
      </c>
      <c r="O11" s="224">
        <f t="shared" si="6"/>
        <v>4758955.090000004</v>
      </c>
      <c r="P11" s="223">
        <f>+'Self insurrance from 2011'!HO6</f>
        <v>4612296.290000004</v>
      </c>
      <c r="Q11" s="224">
        <f t="shared" si="7"/>
        <v>4612296.290000004</v>
      </c>
      <c r="R11" s="223">
        <f>+'Self insurrance from 2011'!HS6</f>
        <v>4599185.410000004</v>
      </c>
      <c r="S11" s="224">
        <f t="shared" si="8"/>
        <v>4599185.410000004</v>
      </c>
      <c r="T11" s="223">
        <v>2416700</v>
      </c>
      <c r="U11" s="224">
        <f t="shared" si="9"/>
        <v>2416700</v>
      </c>
      <c r="V11" s="223">
        <f>+'Self insurrance from 2011'!IA6</f>
        <v>4379625.350000004</v>
      </c>
      <c r="W11" s="224">
        <f t="shared" si="10"/>
        <v>4379625.350000004</v>
      </c>
      <c r="X11" s="223">
        <f>+'Self insurrance from 2011'!IE6</f>
        <v>4393258.110000004</v>
      </c>
      <c r="Y11" s="224">
        <f>X11</f>
        <v>4393258.110000004</v>
      </c>
      <c r="Z11" s="223">
        <f>+'Self insurrance from 2011'!II6</f>
        <v>4905294.140000004</v>
      </c>
      <c r="AA11" s="224">
        <f t="shared" si="12"/>
        <v>4905294.140000004</v>
      </c>
      <c r="AB11" s="223">
        <f>'Self insurrance from 2011'!IM6</f>
        <v>4921056.640000004</v>
      </c>
      <c r="AC11" s="224">
        <f t="shared" si="12"/>
        <v>4921056.640000004</v>
      </c>
      <c r="AD11" s="223">
        <f>+'Self insurrance from 2011'!IQ6</f>
        <v>4936819.140000004</v>
      </c>
      <c r="AE11" s="224">
        <f t="shared" si="13"/>
        <v>4936819.140000004</v>
      </c>
      <c r="AF11" s="223">
        <f>+'Self insurrance from 2011'!IU6</f>
        <v>4950844.8000000045</v>
      </c>
      <c r="AG11" s="224">
        <f t="shared" si="14"/>
        <v>4950844.8000000045</v>
      </c>
      <c r="AH11" s="223">
        <f>+'Self insurance 201617'!R6</f>
        <v>4951227.3000000045</v>
      </c>
      <c r="AI11" s="224">
        <f t="shared" si="15"/>
        <v>4951227.3000000045</v>
      </c>
      <c r="AJ11" s="223">
        <f>+'Self insurance 201617'!V6</f>
        <v>4861332.720000004</v>
      </c>
      <c r="AK11" s="224">
        <f t="shared" si="16"/>
        <v>4861332.720000004</v>
      </c>
      <c r="AL11" s="223">
        <f>+'Self insurance 201617'!Z6</f>
        <v>4877095.220000004</v>
      </c>
      <c r="AM11" s="224">
        <f t="shared" si="17"/>
        <v>4877095.220000004</v>
      </c>
      <c r="AN11" s="223">
        <f>+'Self insurance 201617'!AD6</f>
        <v>4892857.720000004</v>
      </c>
      <c r="AO11" s="224">
        <f t="shared" si="18"/>
        <v>4892857.720000004</v>
      </c>
      <c r="AP11" s="223">
        <f>+'Self insurance 201617'!AH6</f>
        <v>4858320.530000004</v>
      </c>
      <c r="AQ11" s="224">
        <f t="shared" si="19"/>
        <v>4858320.530000004</v>
      </c>
      <c r="AR11" s="223">
        <f>+'Self insurance 201617'!AL6</f>
        <v>4917026.470000004</v>
      </c>
      <c r="AS11" s="224">
        <f t="shared" si="20"/>
        <v>4917026.470000004</v>
      </c>
      <c r="AT11" s="223">
        <f>+'Self insurance 201617'!AP6</f>
        <v>4932788.970000004</v>
      </c>
      <c r="AU11" s="224">
        <f t="shared" si="21"/>
        <v>4932788.970000004</v>
      </c>
      <c r="AV11" s="223">
        <f>+'Self insurance 201617'!AT6</f>
        <v>4948551.470000004</v>
      </c>
      <c r="AW11" s="224">
        <f t="shared" si="22"/>
        <v>4948551.470000004</v>
      </c>
      <c r="AX11" s="223">
        <f>+'Self insurance 201617'!AX6</f>
        <v>4704152.460000005</v>
      </c>
      <c r="AY11" s="224">
        <f t="shared" si="23"/>
        <v>4704152.460000005</v>
      </c>
      <c r="AZ11" s="223">
        <f>'Self insurance 201617'!BB6</f>
        <v>4719914.960000005</v>
      </c>
      <c r="BA11" s="224">
        <f t="shared" si="24"/>
        <v>4719914.960000005</v>
      </c>
      <c r="BB11" s="223">
        <f>'Self insurance 201617'!BF6</f>
        <v>4735677.460000005</v>
      </c>
      <c r="BC11" s="224">
        <f t="shared" si="25"/>
        <v>4735677.460000005</v>
      </c>
      <c r="BD11" s="223">
        <f>'Self insurance 201617'!BJ6</f>
        <v>4751439.960000005</v>
      </c>
      <c r="BE11" s="224">
        <f t="shared" si="26"/>
        <v>4751439.960000005</v>
      </c>
      <c r="BF11" s="223">
        <f>+'Self insurance 201617'!BN6</f>
        <v>4767202.460000005</v>
      </c>
      <c r="BG11" s="224">
        <f t="shared" si="27"/>
        <v>4767202.460000005</v>
      </c>
      <c r="BH11" s="223">
        <f>+'Self insurance 201617'!BR6</f>
        <v>4710778.130000005</v>
      </c>
      <c r="BI11" s="224">
        <f t="shared" si="28"/>
        <v>4710778.130000005</v>
      </c>
      <c r="BJ11" s="223">
        <f>+'Self insurance 201617'!BV6</f>
        <v>4726540.630000005</v>
      </c>
      <c r="BK11" s="224">
        <f t="shared" si="29"/>
        <v>4726540.630000005</v>
      </c>
      <c r="BL11" s="223">
        <f>+'Self insurance 201617'!BZ6</f>
        <v>4742303.130000005</v>
      </c>
      <c r="BM11" s="224">
        <f t="shared" si="30"/>
        <v>4742303.130000005</v>
      </c>
      <c r="BN11" s="223">
        <f>+'Self insurance 201617'!CD6</f>
        <v>4736008.240000005</v>
      </c>
      <c r="BO11" s="224">
        <f t="shared" si="31"/>
        <v>4736008.240000005</v>
      </c>
      <c r="BP11" s="223">
        <f>+'Self insurance 201617'!CH6</f>
        <v>4751770.740000005</v>
      </c>
      <c r="BQ11" s="224">
        <f t="shared" si="32"/>
        <v>4751770.740000005</v>
      </c>
      <c r="BR11" s="223">
        <f>+'Self insurance 201617'!CL6</f>
        <v>4335403.5500000045</v>
      </c>
      <c r="BS11" s="224">
        <f t="shared" si="33"/>
        <v>4335403.5500000045</v>
      </c>
      <c r="BT11" s="223">
        <f>'Self insurance 201617'!CP6</f>
        <v>4351166.0500000045</v>
      </c>
      <c r="BU11" s="224">
        <f t="shared" si="34"/>
        <v>4351166.0500000045</v>
      </c>
      <c r="BV11" s="223">
        <f>+'Self insurance 201617'!CT6</f>
        <v>5246771.080000005</v>
      </c>
      <c r="BW11" s="224">
        <f t="shared" si="35"/>
        <v>5246771.080000005</v>
      </c>
      <c r="BX11" s="223">
        <f>'Self insurance 201617'!CX6</f>
        <v>5313771.080000005</v>
      </c>
      <c r="BY11" s="224">
        <f t="shared" si="36"/>
        <v>5313771.080000005</v>
      </c>
      <c r="BZ11" s="223">
        <f>'Self insurance 201617'!DB6</f>
        <v>5380771.080000005</v>
      </c>
      <c r="CA11" s="224">
        <f t="shared" si="37"/>
        <v>5380771.080000005</v>
      </c>
      <c r="CB11" s="223">
        <f>+'Self insurance 201617'!DF6</f>
        <v>5447771.080000005</v>
      </c>
      <c r="CC11" s="224">
        <f t="shared" si="38"/>
        <v>5447771.080000005</v>
      </c>
      <c r="CD11" s="223">
        <v>5447771</v>
      </c>
      <c r="CE11" s="224">
        <f t="shared" si="39"/>
        <v>5447771</v>
      </c>
      <c r="CF11" s="223">
        <f>'Self insurance 201617'!DN6</f>
        <v>5381269.600000004</v>
      </c>
      <c r="CG11" s="224">
        <f t="shared" si="40"/>
        <v>5381269.600000004</v>
      </c>
      <c r="CH11" s="223">
        <f>'Self insurance 201617'!DR6</f>
        <v>5378109.600000004</v>
      </c>
      <c r="CI11" s="224">
        <f t="shared" si="41"/>
        <v>5378109.600000004</v>
      </c>
      <c r="CJ11" s="223">
        <f>'Self insurance 201617'!DV6</f>
        <v>5445109.600000004</v>
      </c>
      <c r="CK11" s="224">
        <f t="shared" si="42"/>
        <v>5445109.600000004</v>
      </c>
      <c r="CL11" s="223">
        <f>'Self insurance 201617'!DZ6</f>
        <v>5512109.600000004</v>
      </c>
      <c r="CM11" s="224">
        <f t="shared" si="43"/>
        <v>5512109.600000004</v>
      </c>
      <c r="CN11" s="223">
        <f>'Self insurance 201617'!ED6</f>
        <v>5579109.600000004</v>
      </c>
      <c r="CO11" s="224">
        <f t="shared" si="44"/>
        <v>5579109.600000004</v>
      </c>
      <c r="CP11" s="223">
        <f>'Self insurance 201617'!EH6</f>
        <v>5620457.420000005</v>
      </c>
      <c r="CQ11" s="224">
        <f t="shared" si="45"/>
        <v>5620457.420000005</v>
      </c>
      <c r="CR11" s="223">
        <f>'Self insurance 201617'!EL6</f>
        <v>5609758.230000004</v>
      </c>
      <c r="CS11" s="224">
        <f t="shared" si="46"/>
        <v>5609758.230000004</v>
      </c>
      <c r="CT11" s="223">
        <f>'Self insurance 201617'!EP6</f>
        <v>5314961.540000004</v>
      </c>
      <c r="CU11" s="224">
        <f t="shared" si="47"/>
        <v>5314961.540000004</v>
      </c>
      <c r="CV11" s="223">
        <f>'Self insurance 201617'!ET6</f>
        <v>5381961.540000004</v>
      </c>
      <c r="CW11" s="224">
        <f t="shared" si="48"/>
        <v>5381961.540000004</v>
      </c>
      <c r="CX11" s="223">
        <f>'Self insurance 201617'!EX6</f>
        <v>5448961.540000004</v>
      </c>
      <c r="CY11" s="224">
        <f t="shared" si="49"/>
        <v>5448961.540000004</v>
      </c>
      <c r="CZ11" s="223">
        <f>'Self insurance 201617'!FB6</f>
        <v>5515961.540000004</v>
      </c>
      <c r="DA11" s="224">
        <f t="shared" si="50"/>
        <v>5515961.540000004</v>
      </c>
      <c r="DB11" s="223">
        <f>'Self insurance 201617'!FF6</f>
        <v>5582961.540000004</v>
      </c>
      <c r="DC11" s="224">
        <f t="shared" si="51"/>
        <v>5582961.540000004</v>
      </c>
      <c r="DD11" s="223">
        <f>'Self insurance 201617'!FJ6</f>
        <v>5649961.540000004</v>
      </c>
      <c r="DE11" s="224">
        <f t="shared" si="52"/>
        <v>5649961.540000004</v>
      </c>
      <c r="DF11" s="223">
        <f>'Self insurance 201617'!FN6</f>
        <v>5716961.540000004</v>
      </c>
      <c r="DG11" s="224">
        <f t="shared" si="53"/>
        <v>5716961.540000004</v>
      </c>
      <c r="DH11" s="223">
        <f>'Self insurance 201617'!FR6</f>
        <v>5783961.540000004</v>
      </c>
      <c r="DI11" s="224">
        <f t="shared" si="54"/>
        <v>5783961.540000004</v>
      </c>
    </row>
    <row r="12" spans="1:113" ht="12.75">
      <c r="A12" s="210" t="s">
        <v>192</v>
      </c>
      <c r="B12" s="223">
        <f>+'Cappital Replacement'!EC228</f>
        <v>28228536.620000005</v>
      </c>
      <c r="C12" s="224">
        <f t="shared" si="0"/>
        <v>28228536.620000005</v>
      </c>
      <c r="D12" s="223">
        <f>+'Cappital Replacement'!EC232</f>
        <v>28044457.220000006</v>
      </c>
      <c r="E12" s="224">
        <f t="shared" si="1"/>
        <v>28044457.220000006</v>
      </c>
      <c r="F12" s="223">
        <f>+'Cappital Replacement'!EC236</f>
        <v>24399209.180000007</v>
      </c>
      <c r="G12" s="224">
        <f t="shared" si="2"/>
        <v>24399209.180000007</v>
      </c>
      <c r="H12" s="223">
        <f>+'Cappital Replacement'!EC240</f>
        <v>23565977.400000006</v>
      </c>
      <c r="I12" s="224">
        <f t="shared" si="3"/>
        <v>23565977.400000006</v>
      </c>
      <c r="J12" s="223">
        <f>+'Cappital Replacement'!EC244</f>
        <v>21090144.810000006</v>
      </c>
      <c r="K12" s="224">
        <f t="shared" si="4"/>
        <v>21090144.810000006</v>
      </c>
      <c r="L12" s="223">
        <f>+'Cappital Replacement'!EC248</f>
        <v>18535344.870000005</v>
      </c>
      <c r="M12" s="224">
        <f t="shared" si="5"/>
        <v>18535344.870000005</v>
      </c>
      <c r="N12" s="223">
        <f>+'Cappital Replacement'!EC252</f>
        <v>18597582.350000005</v>
      </c>
      <c r="O12" s="224">
        <f t="shared" si="6"/>
        <v>18597582.350000005</v>
      </c>
      <c r="P12" s="223">
        <f>+'Cappital Replacement'!EC256</f>
        <v>16491519.630000006</v>
      </c>
      <c r="Q12" s="224">
        <f t="shared" si="7"/>
        <v>16491519.630000006</v>
      </c>
      <c r="R12" s="223">
        <f>+'Cappital Replacement'!EC260</f>
        <v>24927919.390000008</v>
      </c>
      <c r="S12" s="224">
        <f t="shared" si="8"/>
        <v>24927919.390000008</v>
      </c>
      <c r="T12" s="223">
        <f>+'Cappital Replacement'!EC264</f>
        <v>22359503.470000006</v>
      </c>
      <c r="U12" s="224">
        <f t="shared" si="9"/>
        <v>22359503.470000006</v>
      </c>
      <c r="V12" s="223">
        <f>+'Cappital Replacement'!EC268</f>
        <v>20811537.320000008</v>
      </c>
      <c r="W12" s="224">
        <f t="shared" si="10"/>
        <v>20811537.320000008</v>
      </c>
      <c r="X12" s="223">
        <f>+'Cappital Replacement'!EC272</f>
        <v>18331054.040000007</v>
      </c>
      <c r="Y12" s="224">
        <f t="shared" si="11"/>
        <v>18331054.040000007</v>
      </c>
      <c r="Z12" s="223">
        <f>+'Cappital Replacement'!EC276</f>
        <v>24109964.80000001</v>
      </c>
      <c r="AA12" s="224">
        <f t="shared" si="12"/>
        <v>24109964.80000001</v>
      </c>
      <c r="AB12" s="223">
        <f>'Cappital Replacement'!EC280</f>
        <v>23276135.19000001</v>
      </c>
      <c r="AC12" s="224">
        <f t="shared" si="12"/>
        <v>23276135.19000001</v>
      </c>
      <c r="AD12" s="223">
        <f>+'Cappital Replacement'!EC284</f>
        <v>23888106.020000007</v>
      </c>
      <c r="AE12" s="224">
        <f t="shared" si="13"/>
        <v>23888106.020000007</v>
      </c>
      <c r="AF12" s="223">
        <f>+'Cappital Replacement'!EC288</f>
        <v>24637840.350000005</v>
      </c>
      <c r="AG12" s="224">
        <f t="shared" si="14"/>
        <v>24637840.350000005</v>
      </c>
      <c r="AH12" s="223">
        <f>+'Cappital Replacement'!EC292</f>
        <v>25251607.400000006</v>
      </c>
      <c r="AI12" s="224">
        <f t="shared" si="15"/>
        <v>25251607.400000006</v>
      </c>
      <c r="AJ12" s="223">
        <f>+'Cappital Replacement'!EC296</f>
        <v>24874900.340000007</v>
      </c>
      <c r="AK12" s="224">
        <f t="shared" si="16"/>
        <v>24874900.340000007</v>
      </c>
      <c r="AL12" s="223">
        <f>+'Cappital Replacement'!EC300</f>
        <v>24391724.21000001</v>
      </c>
      <c r="AM12" s="224">
        <f t="shared" si="17"/>
        <v>24391724.21000001</v>
      </c>
      <c r="AN12" s="223">
        <f>+'Cappital Replacement'!EC304</f>
        <v>25192160.17000001</v>
      </c>
      <c r="AO12" s="224">
        <f t="shared" si="18"/>
        <v>25192160.17000001</v>
      </c>
      <c r="AP12" s="223">
        <f>+'Cappital Replacement'!EC308</f>
        <v>28797992.58000001</v>
      </c>
      <c r="AQ12" s="224">
        <f t="shared" si="19"/>
        <v>28797992.58000001</v>
      </c>
      <c r="AR12" s="223">
        <f>+'Cappital Replacement'!EC312</f>
        <v>27892960.27000001</v>
      </c>
      <c r="AS12" s="224">
        <f t="shared" si="20"/>
        <v>27892960.27000001</v>
      </c>
      <c r="AT12" s="223">
        <f>+'Cappital Replacement'!EC316</f>
        <v>28843185.99000001</v>
      </c>
      <c r="AU12" s="224">
        <f t="shared" si="21"/>
        <v>28843185.99000001</v>
      </c>
      <c r="AV12" s="223">
        <f>+'Cappital Replacement'!EC320</f>
        <v>29191614.95000001</v>
      </c>
      <c r="AW12" s="224">
        <f t="shared" si="22"/>
        <v>29191614.95000001</v>
      </c>
      <c r="AX12" s="223">
        <f>+'Cappital Replacement'!EC324</f>
        <v>22593119.65000001</v>
      </c>
      <c r="AY12" s="224">
        <f t="shared" si="23"/>
        <v>22593119.65000001</v>
      </c>
      <c r="AZ12" s="223">
        <f>'Cappital Replacement'!EC328</f>
        <v>23395991.65000001</v>
      </c>
      <c r="BA12" s="224">
        <f t="shared" si="24"/>
        <v>23395991.65000001</v>
      </c>
      <c r="BB12" s="223">
        <f>'Cappital Replacement'!EC332</f>
        <v>23177025.65000001</v>
      </c>
      <c r="BC12" s="224">
        <f t="shared" si="25"/>
        <v>23177025.65000001</v>
      </c>
      <c r="BD12" s="223">
        <f>'Cappital Replacement'!EC336</f>
        <v>22554917.92000001</v>
      </c>
      <c r="BE12" s="224">
        <f t="shared" si="26"/>
        <v>22554917.92000001</v>
      </c>
      <c r="BF12" s="223">
        <f>+'Cappital Replacement'!EC340</f>
        <v>15763554.31000001</v>
      </c>
      <c r="BG12" s="224">
        <f t="shared" si="27"/>
        <v>15763554.31000001</v>
      </c>
      <c r="BH12" s="223">
        <f>+'Cappital Replacement'!EC344</f>
        <v>16195699.11000001</v>
      </c>
      <c r="BI12" s="224">
        <f t="shared" si="28"/>
        <v>16195699.11000001</v>
      </c>
      <c r="BJ12" s="223">
        <f>+'Cappital Replacement'!EC348</f>
        <v>15621093.44000001</v>
      </c>
      <c r="BK12" s="224">
        <f t="shared" si="29"/>
        <v>15621093.44000001</v>
      </c>
      <c r="BL12" s="223">
        <f>+'Cappital Replacement'!EC352</f>
        <v>16840426.07000001</v>
      </c>
      <c r="BM12" s="224">
        <f t="shared" si="30"/>
        <v>16840426.07000001</v>
      </c>
      <c r="BN12" s="223">
        <f>+'Cappital Replacement'!EC356</f>
        <v>17543674.48000001</v>
      </c>
      <c r="BO12" s="224">
        <f t="shared" si="31"/>
        <v>17543674.48000001</v>
      </c>
      <c r="BP12" s="223">
        <f>+'Cappital Replacement'!EC360</f>
        <v>21758395.11000001</v>
      </c>
      <c r="BQ12" s="224">
        <f t="shared" si="32"/>
        <v>21758395.11000001</v>
      </c>
      <c r="BR12" s="223">
        <f>+'Cappital Replacement'!EC364</f>
        <v>21280873.11000001</v>
      </c>
      <c r="BS12" s="224">
        <f t="shared" si="33"/>
        <v>21280873.11000001</v>
      </c>
      <c r="BT12" s="223">
        <f>'Cappital Replacement'!EC368</f>
        <v>20733541.04000001</v>
      </c>
      <c r="BU12" s="224">
        <f t="shared" si="34"/>
        <v>20733541.04000001</v>
      </c>
      <c r="BV12" s="223">
        <f>+'Cappital Replacement'!EC372</f>
        <v>19515807.01000001</v>
      </c>
      <c r="BW12" s="224">
        <f t="shared" si="35"/>
        <v>19515807.01000001</v>
      </c>
      <c r="BX12" s="223">
        <f>'Cappital Replacement'!EC376</f>
        <v>21740164.880000006</v>
      </c>
      <c r="BY12" s="224">
        <f t="shared" si="36"/>
        <v>21740164.880000006</v>
      </c>
      <c r="BZ12" s="223">
        <f>'Cappital Replacement'!EC380</f>
        <v>21684940.970000006</v>
      </c>
      <c r="CA12" s="224">
        <f t="shared" si="37"/>
        <v>21684940.970000006</v>
      </c>
      <c r="CB12" s="223">
        <f>+'Cappital Replacement'!EC384</f>
        <v>22792737.26000001</v>
      </c>
      <c r="CC12" s="224">
        <f t="shared" si="38"/>
        <v>22792737.26000001</v>
      </c>
      <c r="CD12" s="223">
        <v>22792737</v>
      </c>
      <c r="CE12" s="224">
        <f t="shared" si="39"/>
        <v>22792737</v>
      </c>
      <c r="CF12" s="223">
        <f>'Cappital Replacement'!EC392</f>
        <v>18411335.670000006</v>
      </c>
      <c r="CG12" s="224">
        <f t="shared" si="40"/>
        <v>18411335.670000006</v>
      </c>
      <c r="CH12" s="223">
        <f>'Cappital Replacement'!EC396</f>
        <v>22892845.500000004</v>
      </c>
      <c r="CI12" s="224">
        <f t="shared" si="41"/>
        <v>22892845.500000004</v>
      </c>
      <c r="CJ12" s="223">
        <f>'Cappital Replacement'!EC400</f>
        <v>27821586.450000003</v>
      </c>
      <c r="CK12" s="224">
        <f t="shared" si="42"/>
        <v>27821586.450000003</v>
      </c>
      <c r="CL12" s="223">
        <f>'Cappital Replacement'!EC404</f>
        <v>32677194.040000007</v>
      </c>
      <c r="CM12" s="224">
        <f t="shared" si="43"/>
        <v>32677194.040000007</v>
      </c>
      <c r="CN12" s="223">
        <f>'Cappital Replacement'!EC408</f>
        <v>33680028.56000001</v>
      </c>
      <c r="CO12" s="224">
        <f t="shared" si="44"/>
        <v>33680028.56000001</v>
      </c>
      <c r="CP12" s="223">
        <f>'Cappital Replacement'!EC412</f>
        <v>36734107.37000001</v>
      </c>
      <c r="CQ12" s="224">
        <f t="shared" si="45"/>
        <v>36734107.37000001</v>
      </c>
      <c r="CR12" s="223">
        <f>'Cappital Replacement'!EC416</f>
        <v>34797636.69000001</v>
      </c>
      <c r="CS12" s="224">
        <f t="shared" si="46"/>
        <v>34797636.69000001</v>
      </c>
      <c r="CT12" s="223">
        <f>'Cappital Replacement'!EC420</f>
        <v>26122391.870000016</v>
      </c>
      <c r="CU12" s="224">
        <f t="shared" si="47"/>
        <v>26122391.870000016</v>
      </c>
      <c r="CV12" s="223">
        <f>'Cappital Replacement'!EC424</f>
        <v>34997772.99000002</v>
      </c>
      <c r="CW12" s="224">
        <f t="shared" si="48"/>
        <v>34997772.99000002</v>
      </c>
      <c r="CX12" s="223">
        <f>'Cappital Replacement'!EC428</f>
        <v>36051296.76000002</v>
      </c>
      <c r="CY12" s="224">
        <f t="shared" si="49"/>
        <v>36051296.76000002</v>
      </c>
      <c r="CZ12" s="223">
        <f>'Cappital Replacement'!EC432</f>
        <v>36137936.05000002</v>
      </c>
      <c r="DA12" s="224">
        <f t="shared" si="50"/>
        <v>36137936.05000002</v>
      </c>
      <c r="DB12" s="223">
        <f>'Cappital Replacement'!EC436</f>
        <v>36499676.98000002</v>
      </c>
      <c r="DC12" s="224">
        <f t="shared" si="51"/>
        <v>36499676.98000002</v>
      </c>
      <c r="DD12" s="223">
        <f>'Cappital Replacement'!EC440</f>
        <v>37539830.97000002</v>
      </c>
      <c r="DE12" s="224">
        <f t="shared" si="52"/>
        <v>37539830.97000002</v>
      </c>
      <c r="DF12" s="223">
        <f>'Cappital Replacement'!EC444</f>
        <v>38175423.02000002</v>
      </c>
      <c r="DG12" s="224">
        <f t="shared" si="53"/>
        <v>38175423.02000002</v>
      </c>
      <c r="DH12" s="223">
        <f>'Cappital Replacement'!EC448</f>
        <v>41175963.45000002</v>
      </c>
      <c r="DI12" s="224">
        <f t="shared" si="54"/>
        <v>41175963.45000002</v>
      </c>
    </row>
    <row r="13" spans="1:113" ht="12.75">
      <c r="A13" s="210" t="s">
        <v>239</v>
      </c>
      <c r="B13" s="223">
        <f>+'Brandwacht Trust'!D29</f>
        <v>90953.29159123247</v>
      </c>
      <c r="C13" s="224">
        <f t="shared" si="0"/>
        <v>90953.29159123247</v>
      </c>
      <c r="D13" s="223">
        <f>+'Brandwacht Trust'!D29</f>
        <v>90953.29159123247</v>
      </c>
      <c r="E13" s="224">
        <f t="shared" si="1"/>
        <v>90953.29159123247</v>
      </c>
      <c r="F13" s="223">
        <f>+'Brandwacht Trust'!D29</f>
        <v>90953.29159123247</v>
      </c>
      <c r="G13" s="224">
        <f t="shared" si="2"/>
        <v>90953.29159123247</v>
      </c>
      <c r="H13" s="223">
        <f>+'Brandwacht Trust'!D29</f>
        <v>90953.29159123247</v>
      </c>
      <c r="I13" s="224">
        <f t="shared" si="3"/>
        <v>90953.29159123247</v>
      </c>
      <c r="J13" s="223">
        <f>+'Brandwacht Trust'!D29</f>
        <v>90953.29159123247</v>
      </c>
      <c r="K13" s="224">
        <f t="shared" si="4"/>
        <v>90953.29159123247</v>
      </c>
      <c r="L13" s="223">
        <f>+'Brandwacht Trust'!D29</f>
        <v>90953.29159123247</v>
      </c>
      <c r="M13" s="224">
        <f t="shared" si="5"/>
        <v>90953.29159123247</v>
      </c>
      <c r="N13" s="223">
        <f>+'Brandwacht Trust'!D29</f>
        <v>90953.29159123247</v>
      </c>
      <c r="O13" s="224">
        <f t="shared" si="6"/>
        <v>90953.29159123247</v>
      </c>
      <c r="P13" s="223">
        <f>+'Brandwacht Trust'!D29</f>
        <v>90953.29159123247</v>
      </c>
      <c r="Q13" s="224">
        <f t="shared" si="7"/>
        <v>90953.29159123247</v>
      </c>
      <c r="R13" s="223">
        <f>+'Brandwacht Trust'!D29</f>
        <v>90953.29159123247</v>
      </c>
      <c r="S13" s="224">
        <f t="shared" si="8"/>
        <v>90953.29159123247</v>
      </c>
      <c r="T13" s="223">
        <f>+'Brandwacht Trust'!D29</f>
        <v>90953.29159123247</v>
      </c>
      <c r="U13" s="224">
        <f t="shared" si="9"/>
        <v>90953.29159123247</v>
      </c>
      <c r="V13" s="223">
        <f>+'Brandwacht Trust'!D29</f>
        <v>90953.29159123247</v>
      </c>
      <c r="W13" s="224">
        <f t="shared" si="10"/>
        <v>90953.29159123247</v>
      </c>
      <c r="X13" s="223">
        <f>+'Brandwacht Trust'!D29</f>
        <v>90953.29159123247</v>
      </c>
      <c r="Y13" s="224">
        <f t="shared" si="11"/>
        <v>90953.29159123247</v>
      </c>
      <c r="Z13" s="223">
        <f>+'Brandwacht Trust'!D29</f>
        <v>90953.29159123247</v>
      </c>
      <c r="AA13" s="224">
        <f t="shared" si="12"/>
        <v>90953.29159123247</v>
      </c>
      <c r="AB13" s="223">
        <f>'Brandwacht Trust'!D29</f>
        <v>90953.29159123247</v>
      </c>
      <c r="AC13" s="224">
        <f t="shared" si="12"/>
        <v>90953.29159123247</v>
      </c>
      <c r="AD13" s="223">
        <f>+'Brandwacht Trust'!D29</f>
        <v>90953.29159123247</v>
      </c>
      <c r="AE13" s="224">
        <f t="shared" si="13"/>
        <v>90953.29159123247</v>
      </c>
      <c r="AF13" s="223">
        <f>+'Brandwacht Trust'!D29</f>
        <v>90953.29159123247</v>
      </c>
      <c r="AG13" s="224">
        <f t="shared" si="14"/>
        <v>90953.29159123247</v>
      </c>
      <c r="AH13" s="223">
        <f>+'Brandwacht Trust'!D29</f>
        <v>90953.29159123247</v>
      </c>
      <c r="AI13" s="224">
        <f t="shared" si="15"/>
        <v>90953.29159123247</v>
      </c>
      <c r="AJ13" s="223">
        <f>+'Brandwacht Trust'!D29</f>
        <v>90953.29159123247</v>
      </c>
      <c r="AK13" s="224">
        <f t="shared" si="16"/>
        <v>90953.29159123247</v>
      </c>
      <c r="AL13" s="223">
        <f>+'Brandwacht Trust'!D29</f>
        <v>90953.29159123247</v>
      </c>
      <c r="AM13" s="224">
        <f t="shared" si="17"/>
        <v>90953.29159123247</v>
      </c>
      <c r="AN13" s="223">
        <f>+'Brandwacht Trust'!D29</f>
        <v>90953.29159123247</v>
      </c>
      <c r="AO13" s="224">
        <f t="shared" si="18"/>
        <v>90953.29159123247</v>
      </c>
      <c r="AP13" s="223">
        <f>+'Brandwacht Trust'!D31</f>
        <v>97893.02773964351</v>
      </c>
      <c r="AQ13" s="224">
        <f t="shared" si="19"/>
        <v>97893.02773964351</v>
      </c>
      <c r="AR13" s="223">
        <f>'Brandwacht Trust'!$D31</f>
        <v>97893.02773964351</v>
      </c>
      <c r="AS13" s="224">
        <f t="shared" si="20"/>
        <v>97893.02773964351</v>
      </c>
      <c r="AT13" s="223">
        <f>'Brandwacht Trust'!$D31</f>
        <v>97893.02773964351</v>
      </c>
      <c r="AU13" s="224">
        <f t="shared" si="21"/>
        <v>97893.02773964351</v>
      </c>
      <c r="AV13" s="223">
        <f>'Brandwacht Trust'!$D31</f>
        <v>97893.02773964351</v>
      </c>
      <c r="AW13" s="224">
        <f t="shared" si="22"/>
        <v>97893.02773964351</v>
      </c>
      <c r="AX13" s="223">
        <f>'Brandwacht Trust'!$D31</f>
        <v>97893.02773964351</v>
      </c>
      <c r="AY13" s="224">
        <f t="shared" si="23"/>
        <v>97893.02773964351</v>
      </c>
      <c r="AZ13" s="223">
        <f>'Brandwacht Trust'!$D31</f>
        <v>97893.02773964351</v>
      </c>
      <c r="BA13" s="224">
        <f t="shared" si="24"/>
        <v>97893.02773964351</v>
      </c>
      <c r="BB13" s="223">
        <f>'Brandwacht Trust'!$D31</f>
        <v>97893.02773964351</v>
      </c>
      <c r="BC13" s="224">
        <f t="shared" si="25"/>
        <v>97893.02773964351</v>
      </c>
      <c r="BD13" s="223">
        <f>'Brandwacht Trust'!$D31</f>
        <v>97893.02773964351</v>
      </c>
      <c r="BE13" s="224">
        <f t="shared" si="26"/>
        <v>97893.02773964351</v>
      </c>
      <c r="BF13" s="223">
        <f>'Brandwacht Trust'!$D31</f>
        <v>97893.02773964351</v>
      </c>
      <c r="BG13" s="224">
        <f t="shared" si="27"/>
        <v>97893.02773964351</v>
      </c>
      <c r="BH13" s="223">
        <f>'Brandwacht Trust'!$D31</f>
        <v>97893.02773964351</v>
      </c>
      <c r="BI13" s="224">
        <f t="shared" si="28"/>
        <v>97893.02773964351</v>
      </c>
      <c r="BJ13" s="223">
        <f>+'Brandwacht Trust'!D31</f>
        <v>97893.02773964351</v>
      </c>
      <c r="BK13" s="224">
        <f t="shared" si="29"/>
        <v>97893.02773964351</v>
      </c>
      <c r="BL13" s="223">
        <f>+'Brandwacht Trust'!D31</f>
        <v>97893.02773964351</v>
      </c>
      <c r="BM13" s="224">
        <f t="shared" si="30"/>
        <v>97893.02773964351</v>
      </c>
      <c r="BN13" s="223">
        <f>+'Brandwacht Trust'!D31</f>
        <v>97893.02773964351</v>
      </c>
      <c r="BO13" s="224">
        <f t="shared" si="31"/>
        <v>97893.02773964351</v>
      </c>
      <c r="BP13" s="223">
        <f>+'Brandwacht Trust'!D31</f>
        <v>97893.02773964351</v>
      </c>
      <c r="BQ13" s="224">
        <f t="shared" si="32"/>
        <v>97893.02773964351</v>
      </c>
      <c r="BR13" s="223">
        <f>+'Brandwacht Trust'!D31</f>
        <v>97893.02773964351</v>
      </c>
      <c r="BS13" s="224">
        <f t="shared" si="33"/>
        <v>97893.02773964351</v>
      </c>
      <c r="BT13" s="223">
        <f>'Brandwacht Trust'!D31</f>
        <v>97893.02773964351</v>
      </c>
      <c r="BU13" s="224">
        <f t="shared" si="34"/>
        <v>97893.02773964351</v>
      </c>
      <c r="BV13" s="223">
        <f>+'Brandwacht Trust'!D31</f>
        <v>97893.02773964351</v>
      </c>
      <c r="BW13" s="224">
        <f t="shared" si="35"/>
        <v>97893.02773964351</v>
      </c>
      <c r="BX13" s="223">
        <f>'Brandwacht Trust'!D31</f>
        <v>97893.02773964351</v>
      </c>
      <c r="BY13" s="224">
        <f t="shared" si="36"/>
        <v>97893.02773964351</v>
      </c>
      <c r="BZ13" s="223">
        <f>'Brandwacht Trust'!D31</f>
        <v>97893.02773964351</v>
      </c>
      <c r="CA13" s="224">
        <f t="shared" si="37"/>
        <v>97893.02773964351</v>
      </c>
      <c r="CB13" s="223">
        <f>+'Brandwacht Trust'!D31</f>
        <v>97893.02773964351</v>
      </c>
      <c r="CC13" s="224">
        <f t="shared" si="38"/>
        <v>97893.02773964351</v>
      </c>
      <c r="CD13" s="223">
        <f>'Brandwacht Trust'!D31</f>
        <v>97893.02773964351</v>
      </c>
      <c r="CE13" s="224">
        <f t="shared" si="39"/>
        <v>97893.02773964351</v>
      </c>
      <c r="CF13" s="223">
        <f>'Brandwacht Trust'!D31</f>
        <v>97893.02773964351</v>
      </c>
      <c r="CG13" s="224">
        <f t="shared" si="40"/>
        <v>97893.02773964351</v>
      </c>
      <c r="CH13" s="223">
        <f>'Brandwacht Trust'!D31</f>
        <v>97893.02773964351</v>
      </c>
      <c r="CI13" s="224">
        <f t="shared" si="41"/>
        <v>97893.02773964351</v>
      </c>
      <c r="CJ13" s="223">
        <f>'Brandwacht Trust'!D31</f>
        <v>97893.02773964351</v>
      </c>
      <c r="CK13" s="224">
        <f t="shared" si="42"/>
        <v>97893.02773964351</v>
      </c>
      <c r="CL13" s="223">
        <f>'Brandwacht Trust'!D31</f>
        <v>97893.02773964351</v>
      </c>
      <c r="CM13" s="224">
        <f t="shared" si="43"/>
        <v>97893.02773964351</v>
      </c>
      <c r="CN13" s="223">
        <f>'Brandwacht Trust'!D31</f>
        <v>97893.02773964351</v>
      </c>
      <c r="CO13" s="224">
        <f t="shared" si="44"/>
        <v>97893.02773964351</v>
      </c>
      <c r="CP13" s="223">
        <f>'Brandwacht Trust'!D31</f>
        <v>97893.02773964351</v>
      </c>
      <c r="CQ13" s="224">
        <f t="shared" si="45"/>
        <v>97893.02773964351</v>
      </c>
      <c r="CR13" s="223">
        <f>'Brandwacht Trust'!D31</f>
        <v>97893.02773964351</v>
      </c>
      <c r="CS13" s="224">
        <f t="shared" si="46"/>
        <v>97893.02773964351</v>
      </c>
      <c r="CT13" s="223">
        <f>'Brandwacht Trust'!D31</f>
        <v>97893.02773964351</v>
      </c>
      <c r="CU13" s="224">
        <f t="shared" si="47"/>
        <v>97893.02773964351</v>
      </c>
      <c r="CV13" s="223">
        <f>'Brandwacht Trust'!D31</f>
        <v>97893.02773964351</v>
      </c>
      <c r="CW13" s="224">
        <f t="shared" si="48"/>
        <v>97893.02773964351</v>
      </c>
      <c r="CX13" s="223">
        <f>'Brandwacht Trust'!D31</f>
        <v>97893.02773964351</v>
      </c>
      <c r="CY13" s="224">
        <f t="shared" si="49"/>
        <v>97893.02773964351</v>
      </c>
      <c r="CZ13" s="223">
        <f>'Brandwacht Trust'!D31</f>
        <v>97893.02773964351</v>
      </c>
      <c r="DA13" s="224">
        <f t="shared" si="50"/>
        <v>97893.02773964351</v>
      </c>
      <c r="DB13" s="223">
        <f>'Brandwacht Trust'!D31</f>
        <v>97893.02773964351</v>
      </c>
      <c r="DC13" s="224">
        <f t="shared" si="51"/>
        <v>97893.02773964351</v>
      </c>
      <c r="DD13" s="223">
        <f>'Brandwacht Trust'!D31</f>
        <v>97893.02773964351</v>
      </c>
      <c r="DE13" s="224">
        <f t="shared" si="52"/>
        <v>97893.02773964351</v>
      </c>
      <c r="DF13" s="223">
        <f>'Brandwacht Trust'!D31</f>
        <v>97893.02773964351</v>
      </c>
      <c r="DG13" s="224">
        <f t="shared" si="53"/>
        <v>97893.02773964351</v>
      </c>
      <c r="DH13" s="223">
        <f>'Brandwacht Trust'!D31</f>
        <v>97893.02773964351</v>
      </c>
      <c r="DI13" s="224">
        <f t="shared" si="54"/>
        <v>97893.02773964351</v>
      </c>
    </row>
    <row r="14" spans="1:113" ht="12.75">
      <c r="A14" s="211" t="s">
        <v>610</v>
      </c>
      <c r="B14" s="223">
        <v>1007546.86</v>
      </c>
      <c r="C14" s="224">
        <f t="shared" si="0"/>
        <v>1007546.86</v>
      </c>
      <c r="D14" s="223">
        <v>1024803.53</v>
      </c>
      <c r="E14" s="224">
        <f t="shared" si="1"/>
        <v>1024803.53</v>
      </c>
      <c r="F14" s="223">
        <v>1012433.74</v>
      </c>
      <c r="G14" s="224">
        <f t="shared" si="2"/>
        <v>1012433.74</v>
      </c>
      <c r="H14" s="223">
        <v>1013505.7</v>
      </c>
      <c r="I14" s="224">
        <f t="shared" si="3"/>
        <v>1013505.7</v>
      </c>
      <c r="J14" s="223">
        <v>1013505.7</v>
      </c>
      <c r="K14" s="224">
        <f t="shared" si="4"/>
        <v>1013505.7</v>
      </c>
      <c r="L14" s="223">
        <v>1027666.02</v>
      </c>
      <c r="M14" s="224">
        <f t="shared" si="5"/>
        <v>1027666.02</v>
      </c>
      <c r="N14" s="223">
        <v>1027666.02</v>
      </c>
      <c r="O14" s="224">
        <f t="shared" si="6"/>
        <v>1027666.02</v>
      </c>
      <c r="P14" s="223">
        <v>1077199.9</v>
      </c>
      <c r="Q14" s="224">
        <f t="shared" si="7"/>
        <v>1077199.9</v>
      </c>
      <c r="R14" s="223">
        <v>1374008.11</v>
      </c>
      <c r="S14" s="224">
        <f t="shared" si="8"/>
        <v>1374008.11</v>
      </c>
      <c r="T14" s="223">
        <v>1259492.02</v>
      </c>
      <c r="U14" s="224">
        <f t="shared" si="9"/>
        <v>1259492.02</v>
      </c>
      <c r="V14" s="223">
        <v>1584069.95</v>
      </c>
      <c r="W14" s="224">
        <f t="shared" si="10"/>
        <v>1584069.95</v>
      </c>
      <c r="X14" s="223">
        <v>1965863.65</v>
      </c>
      <c r="Y14" s="224">
        <f t="shared" si="11"/>
        <v>1965863.65</v>
      </c>
      <c r="Z14" s="223">
        <v>1648717.39</v>
      </c>
      <c r="AA14" s="224">
        <f t="shared" si="12"/>
        <v>1648717.39</v>
      </c>
      <c r="AB14" s="223">
        <v>1827870.31</v>
      </c>
      <c r="AC14" s="224">
        <f t="shared" si="12"/>
        <v>1827870.31</v>
      </c>
      <c r="AD14" s="223">
        <v>1717325.88</v>
      </c>
      <c r="AE14" s="224">
        <f t="shared" si="13"/>
        <v>1717325.88</v>
      </c>
      <c r="AF14" s="223">
        <v>1653681.03</v>
      </c>
      <c r="AG14" s="224">
        <f t="shared" si="14"/>
        <v>1653681.03</v>
      </c>
      <c r="AH14" s="223">
        <v>1805755.77</v>
      </c>
      <c r="AI14" s="224">
        <f t="shared" si="15"/>
        <v>1805755.77</v>
      </c>
      <c r="AJ14" s="223">
        <v>1828644.45</v>
      </c>
      <c r="AK14" s="224">
        <f t="shared" si="16"/>
        <v>1828644.45</v>
      </c>
      <c r="AL14" s="223">
        <v>1799873.54</v>
      </c>
      <c r="AM14" s="224">
        <f t="shared" si="17"/>
        <v>1799873.54</v>
      </c>
      <c r="AN14" s="223">
        <v>1969517.2</v>
      </c>
      <c r="AO14" s="224">
        <f t="shared" si="18"/>
        <v>1969517.2</v>
      </c>
      <c r="AP14" s="223">
        <v>1942344.57</v>
      </c>
      <c r="AQ14" s="224">
        <f t="shared" si="19"/>
        <v>1942344.57</v>
      </c>
      <c r="AR14" s="223">
        <v>1918213.97</v>
      </c>
      <c r="AS14" s="224">
        <f t="shared" si="20"/>
        <v>1918213.97</v>
      </c>
      <c r="AT14" s="223">
        <v>2401272.87</v>
      </c>
      <c r="AU14" s="224">
        <f t="shared" si="21"/>
        <v>2401272.87</v>
      </c>
      <c r="AV14" s="223">
        <v>1174502.26</v>
      </c>
      <c r="AW14" s="224">
        <f t="shared" si="22"/>
        <v>1174502.26</v>
      </c>
      <c r="AX14" s="223">
        <v>2106430.11</v>
      </c>
      <c r="AY14" s="224">
        <f t="shared" si="23"/>
        <v>2106430.11</v>
      </c>
      <c r="AZ14" s="223">
        <v>2393683.97</v>
      </c>
      <c r="BA14" s="224">
        <f t="shared" si="24"/>
        <v>2393683.97</v>
      </c>
      <c r="BB14" s="223">
        <f>2393683.97+189200</f>
        <v>2582883.97</v>
      </c>
      <c r="BC14" s="224">
        <f t="shared" si="25"/>
        <v>2582883.97</v>
      </c>
      <c r="BD14" s="223">
        <v>2393683.97</v>
      </c>
      <c r="BE14" s="224">
        <f t="shared" si="26"/>
        <v>2393683.97</v>
      </c>
      <c r="BF14" s="223">
        <f>2393683.97+33000</f>
        <v>2426683.97</v>
      </c>
      <c r="BG14" s="224">
        <f t="shared" si="27"/>
        <v>2426683.97</v>
      </c>
      <c r="BH14" s="223">
        <f>2393683.97+33000</f>
        <v>2426683.97</v>
      </c>
      <c r="BI14" s="224">
        <f t="shared" si="28"/>
        <v>2426683.97</v>
      </c>
      <c r="BJ14" s="223">
        <f>2393683.97+33000+988000</f>
        <v>3414683.97</v>
      </c>
      <c r="BK14" s="224">
        <f t="shared" si="29"/>
        <v>3414683.97</v>
      </c>
      <c r="BL14" s="223">
        <v>3405000</v>
      </c>
      <c r="BM14" s="224">
        <f t="shared" si="30"/>
        <v>3405000</v>
      </c>
      <c r="BN14" s="223">
        <v>3205000</v>
      </c>
      <c r="BO14" s="224">
        <f t="shared" si="31"/>
        <v>3205000</v>
      </c>
      <c r="BP14" s="223">
        <v>1982000</v>
      </c>
      <c r="BQ14" s="224">
        <f t="shared" si="32"/>
        <v>1982000</v>
      </c>
      <c r="BR14" s="223">
        <v>1890200</v>
      </c>
      <c r="BS14" s="224">
        <f t="shared" si="33"/>
        <v>1890200</v>
      </c>
      <c r="BT14" s="223">
        <f>1890200+194000</f>
        <v>2084200</v>
      </c>
      <c r="BU14" s="224">
        <f t="shared" si="34"/>
        <v>2084200</v>
      </c>
      <c r="BV14" s="223">
        <f>2084200+90000</f>
        <v>2174200</v>
      </c>
      <c r="BW14" s="224">
        <f t="shared" si="35"/>
        <v>2174200</v>
      </c>
      <c r="BX14" s="223">
        <f>1084200+90000</f>
        <v>1174200</v>
      </c>
      <c r="BY14" s="224">
        <f t="shared" si="36"/>
        <v>1174200</v>
      </c>
      <c r="BZ14" s="223">
        <v>2253018.42</v>
      </c>
      <c r="CA14" s="224">
        <f t="shared" si="37"/>
        <v>2253018.42</v>
      </c>
      <c r="CB14" s="223">
        <f>2253018.42</f>
        <v>2253018.42</v>
      </c>
      <c r="CC14" s="224">
        <f t="shared" si="38"/>
        <v>2253018.42</v>
      </c>
      <c r="CD14" s="223">
        <v>2253018</v>
      </c>
      <c r="CE14" s="224">
        <f t="shared" si="39"/>
        <v>2253018</v>
      </c>
      <c r="CF14" s="223">
        <v>3444688.71</v>
      </c>
      <c r="CG14" s="224">
        <f t="shared" si="40"/>
        <v>3444688.71</v>
      </c>
      <c r="CH14" s="223">
        <f>Unidentified!C7</f>
        <v>5475471.8</v>
      </c>
      <c r="CI14" s="224">
        <f t="shared" si="41"/>
        <v>5475471.8</v>
      </c>
      <c r="CJ14" s="223">
        <v>4850000</v>
      </c>
      <c r="CK14" s="224">
        <f t="shared" si="42"/>
        <v>4850000</v>
      </c>
      <c r="CL14" s="223">
        <v>4850000</v>
      </c>
      <c r="CM14" s="224">
        <f t="shared" si="43"/>
        <v>4850000</v>
      </c>
      <c r="CN14" s="223">
        <v>4040255.08</v>
      </c>
      <c r="CO14" s="224">
        <f t="shared" si="44"/>
        <v>4040255.08</v>
      </c>
      <c r="CP14" s="223">
        <v>3444688.71</v>
      </c>
      <c r="CQ14" s="224">
        <f t="shared" si="45"/>
        <v>3444688.71</v>
      </c>
      <c r="CR14" s="223">
        <f>Unidentified!C11</f>
        <v>3708382.66</v>
      </c>
      <c r="CS14" s="224">
        <f t="shared" si="46"/>
        <v>3708382.66</v>
      </c>
      <c r="CT14" s="223">
        <f>Unidentified!C12</f>
        <v>2678137.83</v>
      </c>
      <c r="CU14" s="224">
        <f t="shared" si="47"/>
        <v>2678137.83</v>
      </c>
      <c r="CV14" s="223">
        <v>2779006.86</v>
      </c>
      <c r="CW14" s="224">
        <f t="shared" si="48"/>
        <v>2779006.86</v>
      </c>
      <c r="CX14" s="223">
        <f>Unidentified!C13</f>
        <v>2636346.58</v>
      </c>
      <c r="CY14" s="224">
        <f t="shared" si="49"/>
        <v>2636346.58</v>
      </c>
      <c r="CZ14" s="223">
        <f>Unidentified!C14</f>
        <v>3665286.02</v>
      </c>
      <c r="DA14" s="224">
        <f t="shared" si="50"/>
        <v>3665286.02</v>
      </c>
      <c r="DB14" s="223">
        <f>Unidentified!C15</f>
        <v>3609184.12</v>
      </c>
      <c r="DC14" s="224">
        <f t="shared" si="51"/>
        <v>3609184.12</v>
      </c>
      <c r="DD14" s="223">
        <f>Unidentified!C16</f>
        <v>3559244.75</v>
      </c>
      <c r="DE14" s="224">
        <f t="shared" si="52"/>
        <v>3559244.75</v>
      </c>
      <c r="DF14" s="223">
        <f>Unidentified!C17</f>
        <v>3460512.92</v>
      </c>
      <c r="DG14" s="224">
        <f t="shared" si="53"/>
        <v>3460512.92</v>
      </c>
      <c r="DH14" s="223">
        <f>Unidentified!C18</f>
        <v>4171528.89</v>
      </c>
      <c r="DI14" s="224">
        <f t="shared" si="54"/>
        <v>4171528.89</v>
      </c>
    </row>
    <row r="15" spans="1:113" ht="12.75">
      <c r="A15" s="211" t="s">
        <v>333</v>
      </c>
      <c r="B15" s="223">
        <f>+'Performance bonus'!A9</f>
        <v>149307</v>
      </c>
      <c r="C15" s="224">
        <f t="shared" si="0"/>
        <v>149307</v>
      </c>
      <c r="D15" s="223">
        <f>'Performance bonus'!A9</f>
        <v>149307</v>
      </c>
      <c r="E15" s="224">
        <f t="shared" si="1"/>
        <v>149307</v>
      </c>
      <c r="F15" s="223">
        <f>+'Performance bonus'!A11</f>
        <v>165727.52</v>
      </c>
      <c r="G15" s="224">
        <f t="shared" si="2"/>
        <v>165727.52</v>
      </c>
      <c r="H15" s="223">
        <f>+'Performance bonus'!A11</f>
        <v>165727.52</v>
      </c>
      <c r="I15" s="224">
        <f t="shared" si="3"/>
        <v>165727.52</v>
      </c>
      <c r="J15" s="223">
        <f>+'Performance bonus'!A11</f>
        <v>165727.52</v>
      </c>
      <c r="K15" s="224">
        <f t="shared" si="4"/>
        <v>165727.52</v>
      </c>
      <c r="L15" s="223">
        <f>+'Performance bonus'!A11</f>
        <v>165727.52</v>
      </c>
      <c r="M15" s="224">
        <f t="shared" si="5"/>
        <v>165727.52</v>
      </c>
      <c r="N15" s="223">
        <f>+'Performance bonus'!A11</f>
        <v>165727.52</v>
      </c>
      <c r="O15" s="224">
        <f t="shared" si="6"/>
        <v>165727.52</v>
      </c>
      <c r="P15" s="223">
        <f>+'Performance bonus'!A11</f>
        <v>165727.52</v>
      </c>
      <c r="Q15" s="224">
        <f t="shared" si="7"/>
        <v>165727.52</v>
      </c>
      <c r="R15" s="223">
        <f>+'Performance bonus'!A11</f>
        <v>165727.52</v>
      </c>
      <c r="S15" s="224">
        <f t="shared" si="8"/>
        <v>165727.52</v>
      </c>
      <c r="T15" s="223">
        <f>+'Performance bonus'!A11</f>
        <v>165727.52</v>
      </c>
      <c r="U15" s="224">
        <f t="shared" si="9"/>
        <v>165727.52</v>
      </c>
      <c r="V15" s="223">
        <f>+'Performance bonus'!A11</f>
        <v>165727.52</v>
      </c>
      <c r="W15" s="224">
        <f t="shared" si="10"/>
        <v>165727.52</v>
      </c>
      <c r="X15" s="223">
        <f>+'Performance bonus'!A11</f>
        <v>165727.52</v>
      </c>
      <c r="Y15" s="224">
        <f t="shared" si="11"/>
        <v>165727.52</v>
      </c>
      <c r="Z15" s="223">
        <v>307785</v>
      </c>
      <c r="AA15" s="224">
        <f t="shared" si="12"/>
        <v>307785</v>
      </c>
      <c r="AB15" s="223">
        <f>+'Performance bonus'!A13</f>
        <v>185057.1</v>
      </c>
      <c r="AC15" s="224">
        <f t="shared" si="12"/>
        <v>185057.1</v>
      </c>
      <c r="AD15" s="223">
        <f>+'Performance bonus'!A13</f>
        <v>185057.1</v>
      </c>
      <c r="AE15" s="224">
        <f t="shared" si="13"/>
        <v>185057.1</v>
      </c>
      <c r="AF15" s="223">
        <f>+'Performance bonus'!A13</f>
        <v>185057.1</v>
      </c>
      <c r="AG15" s="224">
        <f t="shared" si="14"/>
        <v>185057.1</v>
      </c>
      <c r="AH15" s="223">
        <f>+'Performance bonus'!A13</f>
        <v>185057.1</v>
      </c>
      <c r="AI15" s="224">
        <f t="shared" si="15"/>
        <v>185057.1</v>
      </c>
      <c r="AJ15" s="223">
        <f>+'Performance bonus'!A13</f>
        <v>185057.1</v>
      </c>
      <c r="AK15" s="224">
        <f t="shared" si="16"/>
        <v>185057.1</v>
      </c>
      <c r="AL15" s="223">
        <f>+'Performance bonus'!A13</f>
        <v>185057.1</v>
      </c>
      <c r="AM15" s="224">
        <f t="shared" si="17"/>
        <v>185057.1</v>
      </c>
      <c r="AN15" s="223">
        <f>+'Performance bonus'!A13</f>
        <v>185057.1</v>
      </c>
      <c r="AO15" s="224">
        <f t="shared" si="18"/>
        <v>185057.1</v>
      </c>
      <c r="AP15" s="223">
        <f>+'Performance bonus'!A13</f>
        <v>185057.1</v>
      </c>
      <c r="AQ15" s="224">
        <f t="shared" si="19"/>
        <v>185057.1</v>
      </c>
      <c r="AR15" s="223">
        <f>'Performance bonus'!$A13</f>
        <v>185057.1</v>
      </c>
      <c r="AS15" s="224">
        <f t="shared" si="20"/>
        <v>185057.1</v>
      </c>
      <c r="AT15" s="223">
        <f>'Performance bonus'!$A13</f>
        <v>185057.1</v>
      </c>
      <c r="AU15" s="224">
        <f t="shared" si="21"/>
        <v>185057.1</v>
      </c>
      <c r="AV15" s="223">
        <f>'Performance bonus'!$A13</f>
        <v>185057.1</v>
      </c>
      <c r="AW15" s="224">
        <f t="shared" si="22"/>
        <v>185057.1</v>
      </c>
      <c r="AX15" s="223">
        <f>'Performance bonus'!$A13</f>
        <v>185057.1</v>
      </c>
      <c r="AY15" s="224">
        <f t="shared" si="23"/>
        <v>185057.1</v>
      </c>
      <c r="AZ15" s="223">
        <f>'Performance bonus'!$A13</f>
        <v>185057.1</v>
      </c>
      <c r="BA15" s="224">
        <f t="shared" si="24"/>
        <v>185057.1</v>
      </c>
      <c r="BB15" s="223">
        <f>'Performance bonus'!A15</f>
        <v>307784.5283333333</v>
      </c>
      <c r="BC15" s="224">
        <f t="shared" si="25"/>
        <v>307784.5283333333</v>
      </c>
      <c r="BD15" s="223">
        <f>'Performance bonus'!A15</f>
        <v>307784.5283333333</v>
      </c>
      <c r="BE15" s="224">
        <f t="shared" si="26"/>
        <v>307784.5283333333</v>
      </c>
      <c r="BF15" s="223">
        <f>+'Performance bonus'!A15</f>
        <v>307784.5283333333</v>
      </c>
      <c r="BG15" s="224">
        <f t="shared" si="27"/>
        <v>307784.5283333333</v>
      </c>
      <c r="BH15" s="223">
        <f>+'Performance bonus'!A15</f>
        <v>307784.5283333333</v>
      </c>
      <c r="BI15" s="224">
        <f t="shared" si="28"/>
        <v>307784.5283333333</v>
      </c>
      <c r="BJ15" s="223">
        <f>+'Performance bonus'!A15</f>
        <v>307784.5283333333</v>
      </c>
      <c r="BK15" s="224">
        <f t="shared" si="29"/>
        <v>307784.5283333333</v>
      </c>
      <c r="BL15" s="223">
        <f>+'Performance bonus'!A15</f>
        <v>307784.5283333333</v>
      </c>
      <c r="BM15" s="224">
        <f t="shared" si="30"/>
        <v>307784.5283333333</v>
      </c>
      <c r="BN15" s="223">
        <f>+'Performance bonus'!A15</f>
        <v>307784.5283333333</v>
      </c>
      <c r="BO15" s="224">
        <f t="shared" si="31"/>
        <v>307784.5283333333</v>
      </c>
      <c r="BP15" s="223">
        <f>+'Performance bonus'!A15</f>
        <v>307784.5283333333</v>
      </c>
      <c r="BQ15" s="224">
        <f t="shared" si="32"/>
        <v>307784.5283333333</v>
      </c>
      <c r="BR15" s="223">
        <f>+'Performance bonus'!A15</f>
        <v>307784.5283333333</v>
      </c>
      <c r="BS15" s="224">
        <f t="shared" si="33"/>
        <v>307784.5283333333</v>
      </c>
      <c r="BT15" s="223">
        <f>'Performance bonus'!A15</f>
        <v>307784.5283333333</v>
      </c>
      <c r="BU15" s="224">
        <f t="shared" si="34"/>
        <v>307784.5283333333</v>
      </c>
      <c r="BV15" s="223">
        <f>+'Performance bonus'!A15</f>
        <v>307784.5283333333</v>
      </c>
      <c r="BW15" s="224">
        <f t="shared" si="35"/>
        <v>307784.5283333333</v>
      </c>
      <c r="BX15" s="223">
        <f>'Performance bonus'!A15</f>
        <v>307784.5283333333</v>
      </c>
      <c r="BY15" s="224">
        <f t="shared" si="36"/>
        <v>307784.5283333333</v>
      </c>
      <c r="BZ15" s="223">
        <f>'Performance bonus'!A17</f>
        <v>778941</v>
      </c>
      <c r="CA15" s="224">
        <f t="shared" si="37"/>
        <v>778941</v>
      </c>
      <c r="CB15" s="223">
        <f>+'Performance bonus'!A17</f>
        <v>778941</v>
      </c>
      <c r="CC15" s="224">
        <f t="shared" si="38"/>
        <v>778941</v>
      </c>
      <c r="CD15" s="223">
        <f>'Performance bonus'!A17</f>
        <v>778941</v>
      </c>
      <c r="CE15" s="224">
        <f t="shared" si="39"/>
        <v>778941</v>
      </c>
      <c r="CF15" s="223">
        <f>'Performance bonus'!A17</f>
        <v>778941</v>
      </c>
      <c r="CG15" s="224">
        <f t="shared" si="40"/>
        <v>778941</v>
      </c>
      <c r="CH15" s="223">
        <f>'Performance bonus'!A17</f>
        <v>778941</v>
      </c>
      <c r="CI15" s="224">
        <f t="shared" si="41"/>
        <v>778941</v>
      </c>
      <c r="CJ15" s="223">
        <f>'Performance bonus'!A17</f>
        <v>778941</v>
      </c>
      <c r="CK15" s="224">
        <f t="shared" si="42"/>
        <v>778941</v>
      </c>
      <c r="CL15" s="223">
        <f>'Performance bonus'!A17</f>
        <v>778941</v>
      </c>
      <c r="CM15" s="224">
        <f t="shared" si="43"/>
        <v>778941</v>
      </c>
      <c r="CN15" s="223">
        <f>'Performance bonus'!A17</f>
        <v>778941</v>
      </c>
      <c r="CO15" s="224">
        <f t="shared" si="44"/>
        <v>778941</v>
      </c>
      <c r="CP15" s="223">
        <f>'Performance bonus'!A17</f>
        <v>778941</v>
      </c>
      <c r="CQ15" s="224">
        <f t="shared" si="45"/>
        <v>778941</v>
      </c>
      <c r="CR15" s="223">
        <f>'Performance bonus'!A17</f>
        <v>778941</v>
      </c>
      <c r="CS15" s="224">
        <f t="shared" si="46"/>
        <v>778941</v>
      </c>
      <c r="CT15" s="223">
        <f>'Performance bonus'!A17</f>
        <v>778941</v>
      </c>
      <c r="CU15" s="224">
        <f t="shared" si="47"/>
        <v>778941</v>
      </c>
      <c r="CV15" s="223">
        <f>'Performance bonus'!A19</f>
        <v>947786.7</v>
      </c>
      <c r="CW15" s="224">
        <f t="shared" si="48"/>
        <v>947786.7</v>
      </c>
      <c r="CX15" s="223">
        <f>'Performance bonus'!A19</f>
        <v>947786.7</v>
      </c>
      <c r="CY15" s="224">
        <f t="shared" si="49"/>
        <v>947786.7</v>
      </c>
      <c r="CZ15" s="223">
        <f>'Performance bonus'!A19</f>
        <v>947786.7</v>
      </c>
      <c r="DA15" s="224">
        <f t="shared" si="50"/>
        <v>947786.7</v>
      </c>
      <c r="DB15" s="223">
        <f>'Performance bonus'!A19</f>
        <v>947786.7</v>
      </c>
      <c r="DC15" s="224">
        <f t="shared" si="51"/>
        <v>947786.7</v>
      </c>
      <c r="DD15" s="223">
        <f>'Performance bonus'!A19</f>
        <v>947786.7</v>
      </c>
      <c r="DE15" s="224">
        <f t="shared" si="52"/>
        <v>947786.7</v>
      </c>
      <c r="DF15" s="223">
        <f>'Performance bonus'!A19</f>
        <v>947786.7</v>
      </c>
      <c r="DG15" s="224">
        <f t="shared" si="53"/>
        <v>947786.7</v>
      </c>
      <c r="DH15" s="223">
        <f>'Performance bonus'!A19</f>
        <v>947786.7</v>
      </c>
      <c r="DI15" s="224">
        <f t="shared" si="54"/>
        <v>947786.7</v>
      </c>
    </row>
    <row r="16" spans="1:113" ht="12.75">
      <c r="A16" s="210" t="s">
        <v>15</v>
      </c>
      <c r="B16" s="223">
        <v>6587988.37</v>
      </c>
      <c r="C16" s="224">
        <f t="shared" si="0"/>
        <v>6587988.37</v>
      </c>
      <c r="D16" s="223">
        <v>6934259</v>
      </c>
      <c r="E16" s="224">
        <f t="shared" si="1"/>
        <v>6934259</v>
      </c>
      <c r="F16" s="223">
        <v>6534240.36</v>
      </c>
      <c r="G16" s="224">
        <f t="shared" si="2"/>
        <v>6534240.36</v>
      </c>
      <c r="H16" s="223">
        <v>6670064.23</v>
      </c>
      <c r="I16" s="224">
        <f t="shared" si="3"/>
        <v>6670064.23</v>
      </c>
      <c r="J16" s="223">
        <v>5174702.17</v>
      </c>
      <c r="K16" s="224">
        <f t="shared" si="4"/>
        <v>5174702.17</v>
      </c>
      <c r="L16" s="223">
        <v>5122310.41</v>
      </c>
      <c r="M16" s="224">
        <f t="shared" si="5"/>
        <v>5122310.41</v>
      </c>
      <c r="N16" s="223">
        <v>4142079.02</v>
      </c>
      <c r="O16" s="224">
        <f t="shared" si="6"/>
        <v>4142079.02</v>
      </c>
      <c r="P16" s="223">
        <v>3660908.38</v>
      </c>
      <c r="Q16" s="224">
        <f t="shared" si="7"/>
        <v>3660908.38</v>
      </c>
      <c r="R16" s="223">
        <v>3265369.31</v>
      </c>
      <c r="S16" s="224">
        <f t="shared" si="8"/>
        <v>3265369.31</v>
      </c>
      <c r="T16" s="223">
        <v>3354360.51</v>
      </c>
      <c r="U16" s="224">
        <f t="shared" si="9"/>
        <v>3354360.51</v>
      </c>
      <c r="V16" s="223">
        <v>3276560.32</v>
      </c>
      <c r="W16" s="224">
        <f t="shared" si="10"/>
        <v>3276560.32</v>
      </c>
      <c r="X16" s="223">
        <v>3104447.44</v>
      </c>
      <c r="Y16" s="224">
        <f t="shared" si="11"/>
        <v>3104447.44</v>
      </c>
      <c r="Z16" s="223">
        <v>4325614</v>
      </c>
      <c r="AA16" s="224">
        <f t="shared" si="12"/>
        <v>4325614</v>
      </c>
      <c r="AB16" s="223">
        <v>3459624.09</v>
      </c>
      <c r="AC16" s="224">
        <f t="shared" si="12"/>
        <v>3459624.09</v>
      </c>
      <c r="AD16" s="223">
        <v>3244949.13</v>
      </c>
      <c r="AE16" s="224">
        <f t="shared" si="13"/>
        <v>3244949.13</v>
      </c>
      <c r="AF16" s="223">
        <v>3385118.88</v>
      </c>
      <c r="AG16" s="224">
        <f t="shared" si="14"/>
        <v>3385118.88</v>
      </c>
      <c r="AH16" s="223">
        <v>3383314.67</v>
      </c>
      <c r="AI16" s="224">
        <f t="shared" si="15"/>
        <v>3383314.67</v>
      </c>
      <c r="AJ16" s="223">
        <v>2716051.38</v>
      </c>
      <c r="AK16" s="224">
        <f t="shared" si="16"/>
        <v>2716051.38</v>
      </c>
      <c r="AL16" s="223">
        <v>3165203.21</v>
      </c>
      <c r="AM16" s="224">
        <f t="shared" si="17"/>
        <v>3165203.21</v>
      </c>
      <c r="AN16" s="223">
        <v>3359291.1899999995</v>
      </c>
      <c r="AO16" s="224">
        <f t="shared" si="18"/>
        <v>3359291.1899999995</v>
      </c>
      <c r="AP16" s="223">
        <v>4116948.38</v>
      </c>
      <c r="AQ16" s="224">
        <f t="shared" si="19"/>
        <v>4116948.38</v>
      </c>
      <c r="AR16" s="223">
        <v>4565615.49</v>
      </c>
      <c r="AS16" s="224">
        <f t="shared" si="20"/>
        <v>4565615.49</v>
      </c>
      <c r="AT16" s="223">
        <v>4712629.739999999</v>
      </c>
      <c r="AU16" s="224">
        <f t="shared" si="21"/>
        <v>4712629.739999999</v>
      </c>
      <c r="AV16" s="223">
        <v>4889461.41</v>
      </c>
      <c r="AW16" s="224">
        <f t="shared" si="22"/>
        <v>4889461.41</v>
      </c>
      <c r="AX16" s="223">
        <v>4325614.4</v>
      </c>
      <c r="AY16" s="224">
        <f t="shared" si="23"/>
        <v>4325614.4</v>
      </c>
      <c r="AZ16" s="223">
        <v>4325614.4</v>
      </c>
      <c r="BA16" s="224">
        <f t="shared" si="24"/>
        <v>4325614.4</v>
      </c>
      <c r="BB16" s="223">
        <v>4325614.4</v>
      </c>
      <c r="BC16" s="224">
        <f t="shared" si="25"/>
        <v>4325614.4</v>
      </c>
      <c r="BD16" s="223">
        <v>5968928.43</v>
      </c>
      <c r="BE16" s="224">
        <f t="shared" si="26"/>
        <v>5968928.43</v>
      </c>
      <c r="BF16" s="223">
        <v>5804938</v>
      </c>
      <c r="BG16" s="224">
        <f t="shared" si="27"/>
        <v>5804938</v>
      </c>
      <c r="BH16" s="223">
        <v>6966239.81</v>
      </c>
      <c r="BI16" s="224">
        <f t="shared" si="28"/>
        <v>6966239.81</v>
      </c>
      <c r="BJ16" s="223">
        <v>6163085.52</v>
      </c>
      <c r="BK16" s="224">
        <f t="shared" si="29"/>
        <v>6163085.52</v>
      </c>
      <c r="BL16" s="223">
        <v>6152951.69</v>
      </c>
      <c r="BM16" s="224">
        <f t="shared" si="30"/>
        <v>6152951.69</v>
      </c>
      <c r="BN16" s="223">
        <v>4417170.83</v>
      </c>
      <c r="BO16" s="224">
        <f t="shared" si="31"/>
        <v>4417170.83</v>
      </c>
      <c r="BP16" s="223">
        <v>4396229.63</v>
      </c>
      <c r="BQ16" s="224">
        <f t="shared" si="32"/>
        <v>4396229.63</v>
      </c>
      <c r="BR16" s="223">
        <v>4687673.83</v>
      </c>
      <c r="BS16" s="224">
        <f t="shared" si="33"/>
        <v>4687673.83</v>
      </c>
      <c r="BT16" s="223">
        <v>5696496.22</v>
      </c>
      <c r="BU16" s="224">
        <f t="shared" si="34"/>
        <v>5696496.22</v>
      </c>
      <c r="BV16" s="223">
        <v>6688280.119999999</v>
      </c>
      <c r="BW16" s="224">
        <f t="shared" si="35"/>
        <v>6688280.119999999</v>
      </c>
      <c r="BX16" s="223">
        <v>6803086.64</v>
      </c>
      <c r="BY16" s="224">
        <f t="shared" si="36"/>
        <v>6803086.64</v>
      </c>
      <c r="BZ16" s="223">
        <v>7096956.23</v>
      </c>
      <c r="CA16" s="224">
        <f t="shared" si="37"/>
        <v>7096956.23</v>
      </c>
      <c r="CB16" s="223">
        <v>7096956.229999999</v>
      </c>
      <c r="CC16" s="224">
        <f t="shared" si="38"/>
        <v>7096956.229999999</v>
      </c>
      <c r="CD16" s="223">
        <v>8330866</v>
      </c>
      <c r="CE16" s="224">
        <f t="shared" si="39"/>
        <v>8330866</v>
      </c>
      <c r="CF16" s="223">
        <v>8713831.73</v>
      </c>
      <c r="CG16" s="224">
        <f t="shared" si="40"/>
        <v>8713831.73</v>
      </c>
      <c r="CH16" s="223">
        <v>8220725.72</v>
      </c>
      <c r="CI16" s="224">
        <f t="shared" si="41"/>
        <v>8220725.72</v>
      </c>
      <c r="CJ16" s="223">
        <v>8240279.25</v>
      </c>
      <c r="CK16" s="224">
        <f t="shared" si="42"/>
        <v>8240279.25</v>
      </c>
      <c r="CL16" s="223">
        <v>6216742.55</v>
      </c>
      <c r="CM16" s="224">
        <f t="shared" si="43"/>
        <v>6216742.55</v>
      </c>
      <c r="CN16" s="223">
        <v>6200682.77</v>
      </c>
      <c r="CO16" s="224">
        <f t="shared" si="44"/>
        <v>6200682.77</v>
      </c>
      <c r="CP16" s="223">
        <v>5468619.36</v>
      </c>
      <c r="CQ16" s="224">
        <f t="shared" si="45"/>
        <v>5468619.36</v>
      </c>
      <c r="CR16" s="223">
        <v>5861559.52</v>
      </c>
      <c r="CS16" s="224">
        <f t="shared" si="46"/>
        <v>5861559.52</v>
      </c>
      <c r="CT16" s="223">
        <v>5783328.57</v>
      </c>
      <c r="CU16" s="224">
        <f t="shared" si="47"/>
        <v>5783328.57</v>
      </c>
      <c r="CV16" s="223">
        <v>5965268.42</v>
      </c>
      <c r="CW16" s="224">
        <f t="shared" si="48"/>
        <v>5965268.42</v>
      </c>
      <c r="CX16" s="223">
        <v>6067983.16</v>
      </c>
      <c r="CY16" s="224">
        <f t="shared" si="49"/>
        <v>6067983.16</v>
      </c>
      <c r="CZ16" s="223">
        <v>5609458.92</v>
      </c>
      <c r="DA16" s="224">
        <f t="shared" si="50"/>
        <v>5609458.92</v>
      </c>
      <c r="DB16" s="223">
        <v>7222858.21</v>
      </c>
      <c r="DC16" s="224">
        <f t="shared" si="51"/>
        <v>7222858.21</v>
      </c>
      <c r="DD16" s="223">
        <v>7133304</v>
      </c>
      <c r="DE16" s="224">
        <f t="shared" si="52"/>
        <v>7133304</v>
      </c>
      <c r="DF16" s="223">
        <v>6780981.15</v>
      </c>
      <c r="DG16" s="224">
        <f t="shared" si="53"/>
        <v>6780981.15</v>
      </c>
      <c r="DH16" s="223">
        <v>6872571.8</v>
      </c>
      <c r="DI16" s="224">
        <f t="shared" si="54"/>
        <v>6872571.8</v>
      </c>
    </row>
    <row r="17" spans="1:113" s="348" customFormat="1" ht="12.75">
      <c r="A17" s="345" t="s">
        <v>14</v>
      </c>
      <c r="B17" s="346">
        <v>8010257</v>
      </c>
      <c r="C17" s="347">
        <v>24364571</v>
      </c>
      <c r="D17" s="346">
        <v>3125022.67</v>
      </c>
      <c r="E17" s="347">
        <v>29550757</v>
      </c>
      <c r="F17" s="346">
        <v>6578806.07</v>
      </c>
      <c r="G17" s="347">
        <v>21055820</v>
      </c>
      <c r="H17" s="346">
        <v>39028858.2</v>
      </c>
      <c r="I17" s="347">
        <v>24060235</v>
      </c>
      <c r="J17" s="346">
        <v>42987560</v>
      </c>
      <c r="K17" s="347">
        <v>42779713</v>
      </c>
      <c r="L17" s="346">
        <v>22582542.01</v>
      </c>
      <c r="M17" s="347">
        <v>58148905</v>
      </c>
      <c r="N17" s="346">
        <v>35817957.96</v>
      </c>
      <c r="O17" s="347">
        <v>53976438</v>
      </c>
      <c r="P17" s="346">
        <v>55066188.75</v>
      </c>
      <c r="Q17" s="347">
        <v>69309115</v>
      </c>
      <c r="R17" s="346">
        <v>52609336.59</v>
      </c>
      <c r="S17" s="347">
        <v>54861406</v>
      </c>
      <c r="T17" s="346">
        <v>55555567</v>
      </c>
      <c r="U17" s="347">
        <v>59484463</v>
      </c>
      <c r="V17" s="346">
        <v>53123257.64</v>
      </c>
      <c r="W17" s="347">
        <v>53636694</v>
      </c>
      <c r="X17" s="346">
        <v>30121387.25</v>
      </c>
      <c r="Y17" s="347">
        <v>63511432</v>
      </c>
      <c r="Z17" s="346">
        <v>41937498</v>
      </c>
      <c r="AA17" s="347">
        <v>49188725</v>
      </c>
      <c r="AB17" s="346">
        <v>1599376.58</v>
      </c>
      <c r="AC17" s="347">
        <v>35558812</v>
      </c>
      <c r="AD17" s="346">
        <v>7545544.81</v>
      </c>
      <c r="AE17" s="347">
        <v>49140139</v>
      </c>
      <c r="AF17" s="346">
        <v>36471551.27</v>
      </c>
      <c r="AG17" s="347">
        <v>40974578</v>
      </c>
      <c r="AH17" s="346">
        <v>33052679.39</v>
      </c>
      <c r="AI17" s="347">
        <v>64599435</v>
      </c>
      <c r="AJ17" s="346">
        <v>36719076.41</v>
      </c>
      <c r="AK17" s="347">
        <v>55506061</v>
      </c>
      <c r="AL17" s="346">
        <v>47007210.73</v>
      </c>
      <c r="AM17" s="347">
        <v>58328566</v>
      </c>
      <c r="AN17" s="346">
        <v>22636691.68</v>
      </c>
      <c r="AO17" s="347">
        <v>72637495</v>
      </c>
      <c r="AP17" s="346">
        <v>24855764.94</v>
      </c>
      <c r="AQ17" s="347">
        <v>69049600</v>
      </c>
      <c r="AR17" s="346">
        <v>28719105.512260348</v>
      </c>
      <c r="AS17" s="347">
        <v>65304311</v>
      </c>
      <c r="AT17" s="346">
        <v>27190559.07559368</v>
      </c>
      <c r="AU17" s="347">
        <v>71116815</v>
      </c>
      <c r="AV17" s="346">
        <v>34686082.76</v>
      </c>
      <c r="AW17" s="347">
        <v>78554903</v>
      </c>
      <c r="AX17" s="346">
        <v>31280777.66</v>
      </c>
      <c r="AY17" s="347">
        <v>50612559.74</v>
      </c>
      <c r="AZ17" s="346">
        <v>16672867.76</v>
      </c>
      <c r="BA17" s="347">
        <v>54604728</v>
      </c>
      <c r="BB17" s="346">
        <v>11890520</v>
      </c>
      <c r="BC17" s="347">
        <v>61642966</v>
      </c>
      <c r="BD17" s="346">
        <v>7241557.57</v>
      </c>
      <c r="BE17" s="347">
        <v>50409782</v>
      </c>
      <c r="BF17" s="346">
        <v>52834975.17</v>
      </c>
      <c r="BG17" s="347">
        <v>67502020</v>
      </c>
      <c r="BH17" s="346">
        <v>53373418.58</v>
      </c>
      <c r="BI17" s="347">
        <v>52124522</v>
      </c>
      <c r="BJ17" s="346">
        <v>44478354.4</v>
      </c>
      <c r="BK17" s="347">
        <v>61085337</v>
      </c>
      <c r="BL17" s="346">
        <v>46093095.94</v>
      </c>
      <c r="BM17" s="347">
        <v>81249544</v>
      </c>
      <c r="BN17" s="346">
        <v>50033460</v>
      </c>
      <c r="BO17" s="347">
        <v>82202334</v>
      </c>
      <c r="BP17" s="346">
        <v>44405496.91</v>
      </c>
      <c r="BQ17" s="347">
        <v>75135432</v>
      </c>
      <c r="BR17" s="346">
        <v>45110603.77</v>
      </c>
      <c r="BS17" s="347">
        <v>71207419</v>
      </c>
      <c r="BT17" s="346">
        <v>26384981.343927</v>
      </c>
      <c r="BU17" s="347">
        <v>64639079</v>
      </c>
      <c r="BV17" s="346">
        <v>3350962.75</v>
      </c>
      <c r="BW17" s="347">
        <v>19220127</v>
      </c>
      <c r="BX17" s="346">
        <v>3405560.96</v>
      </c>
      <c r="BY17" s="347">
        <v>4235143</v>
      </c>
      <c r="BZ17" s="346">
        <v>5857422.31</v>
      </c>
      <c r="CA17" s="347">
        <v>6482535</v>
      </c>
      <c r="CB17" s="346">
        <v>3231692.75</v>
      </c>
      <c r="CC17" s="347">
        <v>5111208</v>
      </c>
      <c r="CD17" s="346">
        <v>4567314</v>
      </c>
      <c r="CE17" s="347">
        <v>16123917</v>
      </c>
      <c r="CF17" s="346">
        <v>11000000</v>
      </c>
      <c r="CG17" s="347">
        <v>11410049</v>
      </c>
      <c r="CH17" s="346">
        <v>5613524</v>
      </c>
      <c r="CI17" s="347">
        <v>6331560</v>
      </c>
      <c r="CJ17" s="346">
        <v>9611695</v>
      </c>
      <c r="CK17" s="347">
        <v>14859716</v>
      </c>
      <c r="CL17" s="346">
        <v>21118807.16</v>
      </c>
      <c r="CM17" s="347">
        <v>21594852</v>
      </c>
      <c r="CN17" s="346">
        <v>7400308</v>
      </c>
      <c r="CO17" s="347">
        <v>8303769</v>
      </c>
      <c r="CP17" s="346">
        <v>10400800</v>
      </c>
      <c r="CQ17" s="347">
        <v>19427862</v>
      </c>
      <c r="CR17" s="346">
        <v>13673043.69</v>
      </c>
      <c r="CS17" s="347">
        <v>36788467</v>
      </c>
      <c r="CT17" s="346">
        <v>14197762.73</v>
      </c>
      <c r="CU17" s="347">
        <v>16448133</v>
      </c>
      <c r="CV17" s="346">
        <v>14482143.934260294</v>
      </c>
      <c r="CW17" s="347">
        <v>48543243</v>
      </c>
      <c r="CX17" s="346">
        <v>4080105</v>
      </c>
      <c r="CY17" s="347">
        <v>7153682</v>
      </c>
      <c r="CZ17" s="346">
        <v>3405581</v>
      </c>
      <c r="DA17" s="347">
        <v>3787352</v>
      </c>
      <c r="DB17" s="346">
        <v>20811527</v>
      </c>
      <c r="DC17" s="347">
        <v>22047575</v>
      </c>
      <c r="DD17" s="346">
        <v>12421649.37</v>
      </c>
      <c r="DE17" s="347">
        <f>141744087-110025576</f>
        <v>31718511</v>
      </c>
      <c r="DF17" s="346">
        <v>12580650</v>
      </c>
      <c r="DG17" s="347">
        <v>32455964</v>
      </c>
      <c r="DH17" s="346">
        <v>17811858.8422603</v>
      </c>
      <c r="DI17" s="347">
        <v>32455964</v>
      </c>
    </row>
    <row r="18" spans="1:113" ht="12.75">
      <c r="A18" s="211" t="s">
        <v>611</v>
      </c>
      <c r="B18" s="223">
        <v>2991868</v>
      </c>
      <c r="C18" s="224">
        <f>B18</f>
        <v>2991868</v>
      </c>
      <c r="D18" s="223">
        <v>2998768</v>
      </c>
      <c r="E18" s="224">
        <f>D18</f>
        <v>2998768</v>
      </c>
      <c r="F18" s="223">
        <v>2998768</v>
      </c>
      <c r="G18" s="224">
        <f>F18</f>
        <v>2998768</v>
      </c>
      <c r="H18" s="223">
        <v>2998768</v>
      </c>
      <c r="I18" s="224">
        <f>H18</f>
        <v>2998768</v>
      </c>
      <c r="J18" s="223">
        <v>2998768</v>
      </c>
      <c r="K18" s="224">
        <f>J18</f>
        <v>2998768</v>
      </c>
      <c r="L18" s="223">
        <v>2998768</v>
      </c>
      <c r="M18" s="224">
        <f>L18</f>
        <v>2998768</v>
      </c>
      <c r="N18" s="223">
        <v>2998768</v>
      </c>
      <c r="O18" s="224">
        <f>N18</f>
        <v>2998768</v>
      </c>
      <c r="P18" s="223">
        <v>2998768</v>
      </c>
      <c r="Q18" s="224">
        <f>P18</f>
        <v>2998768</v>
      </c>
      <c r="R18" s="223">
        <v>2998768</v>
      </c>
      <c r="S18" s="224">
        <f>R18</f>
        <v>2998768</v>
      </c>
      <c r="T18" s="223">
        <v>2998768</v>
      </c>
      <c r="U18" s="224">
        <f>T18</f>
        <v>2998768</v>
      </c>
      <c r="V18" s="223">
        <v>2998768</v>
      </c>
      <c r="W18" s="224">
        <f>V18</f>
        <v>2998768</v>
      </c>
      <c r="X18" s="223">
        <v>2998768</v>
      </c>
      <c r="Y18" s="224">
        <f>X18</f>
        <v>2998768</v>
      </c>
      <c r="Z18" s="223">
        <v>3386480.8</v>
      </c>
      <c r="AA18" s="224">
        <f>Z18</f>
        <v>3386480.8</v>
      </c>
      <c r="AB18" s="223">
        <v>3277430.48</v>
      </c>
      <c r="AC18" s="224">
        <f>AB18</f>
        <v>3277430.48</v>
      </c>
      <c r="AD18" s="223">
        <v>3277430.48</v>
      </c>
      <c r="AE18" s="224">
        <f>AD18</f>
        <v>3277430.48</v>
      </c>
      <c r="AF18" s="223">
        <v>3277430.48</v>
      </c>
      <c r="AG18" s="224">
        <f>AF18</f>
        <v>3277430.48</v>
      </c>
      <c r="AH18" s="223">
        <v>3277430.48</v>
      </c>
      <c r="AI18" s="224">
        <f>AH18</f>
        <v>3277430.48</v>
      </c>
      <c r="AJ18" s="223">
        <v>3277430.48</v>
      </c>
      <c r="AK18" s="224">
        <f>AJ18</f>
        <v>3277430.48</v>
      </c>
      <c r="AL18" s="223">
        <v>3277430.48</v>
      </c>
      <c r="AM18" s="224">
        <f>AL18</f>
        <v>3277430.48</v>
      </c>
      <c r="AN18" s="223">
        <v>3277430.48</v>
      </c>
      <c r="AO18" s="224">
        <f>AN18</f>
        <v>3277430.48</v>
      </c>
      <c r="AP18" s="223">
        <v>3277430.48</v>
      </c>
      <c r="AQ18" s="224">
        <f>AP18</f>
        <v>3277430.48</v>
      </c>
      <c r="AR18" s="223">
        <v>3277430.48</v>
      </c>
      <c r="AS18" s="224">
        <f>AR18</f>
        <v>3277430.48</v>
      </c>
      <c r="AT18" s="223">
        <v>3277430.48</v>
      </c>
      <c r="AU18" s="224">
        <f>AT18</f>
        <v>3277430.48</v>
      </c>
      <c r="AV18" s="223">
        <v>3277430.48</v>
      </c>
      <c r="AW18" s="224">
        <f>AV18</f>
        <v>3277430.48</v>
      </c>
      <c r="AX18" s="223">
        <v>3277430.48</v>
      </c>
      <c r="AY18" s="224">
        <f>AX18</f>
        <v>3277430.48</v>
      </c>
      <c r="AZ18" s="223">
        <v>3277430.48</v>
      </c>
      <c r="BA18" s="224">
        <f>AZ18</f>
        <v>3277430.48</v>
      </c>
      <c r="BB18" s="223">
        <v>3386480.8</v>
      </c>
      <c r="BC18" s="224">
        <f>BB18</f>
        <v>3386480.8</v>
      </c>
      <c r="BD18" s="223">
        <v>3386480.8</v>
      </c>
      <c r="BE18" s="224">
        <f>BD18</f>
        <v>3386480.8</v>
      </c>
      <c r="BF18" s="223">
        <v>3386480.8</v>
      </c>
      <c r="BG18" s="224">
        <f>BF18</f>
        <v>3386480.8</v>
      </c>
      <c r="BH18" s="223">
        <v>3386480.8</v>
      </c>
      <c r="BI18" s="224">
        <f>BH18</f>
        <v>3386480.8</v>
      </c>
      <c r="BJ18" s="223">
        <v>3386480.8</v>
      </c>
      <c r="BK18" s="224">
        <f>BJ18</f>
        <v>3386480.8</v>
      </c>
      <c r="BL18" s="223">
        <v>3386480.8</v>
      </c>
      <c r="BM18" s="224">
        <f>BL18</f>
        <v>3386480.8</v>
      </c>
      <c r="BN18" s="223">
        <v>3386480.8</v>
      </c>
      <c r="BO18" s="224">
        <f>BN18</f>
        <v>3386480.8</v>
      </c>
      <c r="BP18" s="223">
        <v>3386480.8</v>
      </c>
      <c r="BQ18" s="224">
        <f>BP18</f>
        <v>3386480.8</v>
      </c>
      <c r="BR18" s="223">
        <v>3386480.8</v>
      </c>
      <c r="BS18" s="224">
        <f>BR18</f>
        <v>3386480.8</v>
      </c>
      <c r="BT18" s="223">
        <v>3386480.8</v>
      </c>
      <c r="BU18" s="224">
        <f>BT18</f>
        <v>3386480.8</v>
      </c>
      <c r="BV18" s="223">
        <v>3386480.8</v>
      </c>
      <c r="BW18" s="224">
        <f>BV18</f>
        <v>3386480.8</v>
      </c>
      <c r="BX18" s="223">
        <v>3386480.8</v>
      </c>
      <c r="BY18" s="224">
        <f>BX18</f>
        <v>3386480.8</v>
      </c>
      <c r="BZ18" s="223">
        <v>3936342</v>
      </c>
      <c r="CA18" s="224">
        <f>BZ18</f>
        <v>3936342</v>
      </c>
      <c r="CB18" s="223">
        <v>3936342</v>
      </c>
      <c r="CC18" s="224">
        <f>CB18</f>
        <v>3936342</v>
      </c>
      <c r="CD18" s="223">
        <v>3936342</v>
      </c>
      <c r="CE18" s="224">
        <f>CD18</f>
        <v>3936342</v>
      </c>
      <c r="CF18" s="223">
        <v>3936342</v>
      </c>
      <c r="CG18" s="224">
        <f>CF18</f>
        <v>3936342</v>
      </c>
      <c r="CH18" s="223">
        <v>3936342</v>
      </c>
      <c r="CI18" s="224">
        <f>CH18</f>
        <v>3936342</v>
      </c>
      <c r="CJ18" s="223">
        <v>3936342</v>
      </c>
      <c r="CK18" s="224">
        <f>CJ18</f>
        <v>3936342</v>
      </c>
      <c r="CL18" s="223">
        <v>3936342</v>
      </c>
      <c r="CM18" s="224">
        <f>CL18</f>
        <v>3936342</v>
      </c>
      <c r="CN18" s="223">
        <v>3936342</v>
      </c>
      <c r="CO18" s="224">
        <f>CN18</f>
        <v>3936342</v>
      </c>
      <c r="CP18" s="223">
        <v>3936342</v>
      </c>
      <c r="CQ18" s="224">
        <f>CP18</f>
        <v>3936342</v>
      </c>
      <c r="CR18" s="223">
        <v>3936342</v>
      </c>
      <c r="CS18" s="224">
        <f>CR18</f>
        <v>3936342</v>
      </c>
      <c r="CT18" s="223">
        <v>3936342</v>
      </c>
      <c r="CU18" s="224">
        <f>CT18</f>
        <v>3936342</v>
      </c>
      <c r="CV18" s="223">
        <v>3936342</v>
      </c>
      <c r="CW18" s="224">
        <f>CV18</f>
        <v>3936342</v>
      </c>
      <c r="CX18" s="223">
        <v>3936342</v>
      </c>
      <c r="CY18" s="224">
        <f>CX18</f>
        <v>3936342</v>
      </c>
      <c r="CZ18" s="223">
        <v>3936342</v>
      </c>
      <c r="DA18" s="224">
        <f>CZ18</f>
        <v>3936342</v>
      </c>
      <c r="DB18" s="223">
        <v>3936342</v>
      </c>
      <c r="DC18" s="224">
        <f>DB18</f>
        <v>3936342</v>
      </c>
      <c r="DD18" s="223">
        <v>3936342</v>
      </c>
      <c r="DE18" s="224">
        <f>DD18</f>
        <v>3936342</v>
      </c>
      <c r="DF18" s="223">
        <v>3936342</v>
      </c>
      <c r="DG18" s="224">
        <f>DF18</f>
        <v>3936342</v>
      </c>
      <c r="DH18" s="223">
        <v>3936342</v>
      </c>
      <c r="DI18" s="224">
        <f>DH18</f>
        <v>3936342</v>
      </c>
    </row>
    <row r="19" spans="1:113" ht="13.5" thickBot="1">
      <c r="A19" s="212"/>
      <c r="B19" s="225">
        <f aca="true" t="shared" si="55" ref="B19:G19">SUM(B6:B18)</f>
        <v>112179903.00159125</v>
      </c>
      <c r="C19" s="226">
        <f t="shared" si="55"/>
        <v>128534217.00159125</v>
      </c>
      <c r="D19" s="225">
        <f t="shared" si="55"/>
        <v>143064906.85159123</v>
      </c>
      <c r="E19" s="226">
        <f t="shared" si="55"/>
        <v>169490641.18159124</v>
      </c>
      <c r="F19" s="225">
        <f t="shared" si="55"/>
        <v>140054169.87159124</v>
      </c>
      <c r="G19" s="226">
        <f t="shared" si="55"/>
        <v>154531183.80159125</v>
      </c>
      <c r="H19" s="225">
        <f aca="true" t="shared" si="56" ref="H19:M19">SUM(H6:H18)</f>
        <v>127585630.75159127</v>
      </c>
      <c r="I19" s="226">
        <f t="shared" si="56"/>
        <v>112617007.55159126</v>
      </c>
      <c r="J19" s="225">
        <f t="shared" si="56"/>
        <v>122373573.00159125</v>
      </c>
      <c r="K19" s="226">
        <f t="shared" si="56"/>
        <v>122165726.00159125</v>
      </c>
      <c r="L19" s="225">
        <f t="shared" si="56"/>
        <v>112642576.68159126</v>
      </c>
      <c r="M19" s="226">
        <f t="shared" si="56"/>
        <v>148208939.67159125</v>
      </c>
      <c r="N19" s="225">
        <f aca="true" t="shared" si="57" ref="N19:S19">SUM(N6:N18)</f>
        <v>119115428.18159124</v>
      </c>
      <c r="O19" s="226">
        <f t="shared" si="57"/>
        <v>137273908.22159123</v>
      </c>
      <c r="P19" s="225">
        <f t="shared" si="57"/>
        <v>137631637.09159127</v>
      </c>
      <c r="Q19" s="226">
        <f t="shared" si="57"/>
        <v>151874563.34159127</v>
      </c>
      <c r="R19" s="225">
        <f t="shared" si="57"/>
        <v>139990125.14159125</v>
      </c>
      <c r="S19" s="226">
        <f t="shared" si="57"/>
        <v>142242194.55159125</v>
      </c>
      <c r="T19" s="225">
        <f aca="true" t="shared" si="58" ref="T19:Y19">SUM(T6:T18)</f>
        <v>143010904.77159125</v>
      </c>
      <c r="U19" s="226">
        <f t="shared" si="58"/>
        <v>146939800.77159125</v>
      </c>
      <c r="V19" s="225">
        <f t="shared" si="58"/>
        <v>135849783.1215912</v>
      </c>
      <c r="W19" s="226">
        <f t="shared" si="58"/>
        <v>136363219.48159122</v>
      </c>
      <c r="X19" s="225">
        <f t="shared" si="58"/>
        <v>124048175.83159123</v>
      </c>
      <c r="Y19" s="226">
        <f t="shared" si="58"/>
        <v>192546953.22159123</v>
      </c>
      <c r="Z19" s="225">
        <f aca="true" t="shared" si="59" ref="Z19:AE19">SUM(Z6:Z18)</f>
        <v>144474559.42159125</v>
      </c>
      <c r="AA19" s="226">
        <f t="shared" si="59"/>
        <v>182578149.56459126</v>
      </c>
      <c r="AB19" s="225">
        <f t="shared" si="59"/>
        <v>124351305.94159123</v>
      </c>
      <c r="AC19" s="226">
        <f t="shared" si="59"/>
        <v>188703966.55159122</v>
      </c>
      <c r="AD19" s="225">
        <f t="shared" si="59"/>
        <v>131719289.35159123</v>
      </c>
      <c r="AE19" s="226">
        <f t="shared" si="59"/>
        <v>201283454.1215912</v>
      </c>
      <c r="AF19" s="225">
        <f aca="true" t="shared" si="60" ref="AF19:AK19">SUM(AF6:AF18)</f>
        <v>139458878.50159124</v>
      </c>
      <c r="AG19" s="226">
        <f t="shared" si="60"/>
        <v>171103663.0915912</v>
      </c>
      <c r="AH19" s="225">
        <f t="shared" si="60"/>
        <v>124075842.01159123</v>
      </c>
      <c r="AI19" s="226">
        <f t="shared" si="60"/>
        <v>186884177.95159122</v>
      </c>
      <c r="AJ19" s="225">
        <f t="shared" si="60"/>
        <v>125046352.39159124</v>
      </c>
      <c r="AK19" s="226">
        <f t="shared" si="60"/>
        <v>189500086.14159122</v>
      </c>
      <c r="AL19" s="225">
        <f aca="true" t="shared" si="61" ref="AL19:AQ19">SUM(AL6:AL18)</f>
        <v>156568265.98159122</v>
      </c>
      <c r="AM19" s="226">
        <f t="shared" si="61"/>
        <v>213556370.41159123</v>
      </c>
      <c r="AN19" s="225">
        <f t="shared" si="61"/>
        <v>143451552.0115912</v>
      </c>
      <c r="AO19" s="226">
        <f t="shared" si="61"/>
        <v>222932092.3315912</v>
      </c>
      <c r="AP19" s="225">
        <f t="shared" si="61"/>
        <v>143426883.42773962</v>
      </c>
      <c r="AQ19" s="226">
        <f t="shared" si="61"/>
        <v>216698687.4377396</v>
      </c>
      <c r="AR19" s="225">
        <f aca="true" t="shared" si="62" ref="AR19:AW19">SUM(AR6:AR18)</f>
        <v>160345330.98</v>
      </c>
      <c r="AS19" s="226">
        <f t="shared" si="62"/>
        <v>225018145.86773968</v>
      </c>
      <c r="AT19" s="225">
        <f t="shared" si="62"/>
        <v>156413275.9933333</v>
      </c>
      <c r="AU19" s="226">
        <f t="shared" si="62"/>
        <v>225608620.47773966</v>
      </c>
      <c r="AV19" s="225">
        <f t="shared" si="62"/>
        <v>158232576.84773964</v>
      </c>
      <c r="AW19" s="226">
        <f t="shared" si="62"/>
        <v>224869563.04773962</v>
      </c>
      <c r="AX19" s="225">
        <f aca="true" t="shared" si="63" ref="AX19:BC19">SUM(AX6:AX18)</f>
        <v>131891137.04773965</v>
      </c>
      <c r="AY19" s="226">
        <f t="shared" si="63"/>
        <v>161995689.59773967</v>
      </c>
      <c r="AZ19" s="225">
        <f t="shared" si="63"/>
        <v>158554095.42773965</v>
      </c>
      <c r="BA19" s="226">
        <f t="shared" si="63"/>
        <v>206295141.74773967</v>
      </c>
      <c r="BB19" s="225">
        <f t="shared" si="63"/>
        <v>150978246.946073</v>
      </c>
      <c r="BC19" s="226">
        <f t="shared" si="63"/>
        <v>210117832.84607303</v>
      </c>
      <c r="BD19" s="225">
        <f aca="true" t="shared" si="64" ref="BD19:BI19">SUM(BD6:BD18)</f>
        <v>117000377.736073</v>
      </c>
      <c r="BE19" s="226">
        <f t="shared" si="64"/>
        <v>172036759.336073</v>
      </c>
      <c r="BF19" s="225">
        <f t="shared" si="64"/>
        <v>141607906.58607298</v>
      </c>
      <c r="BG19" s="226">
        <f t="shared" si="64"/>
        <v>168063248.586073</v>
      </c>
      <c r="BH19" s="225">
        <f t="shared" si="64"/>
        <v>146116572.27607298</v>
      </c>
      <c r="BI19" s="226">
        <f t="shared" si="64"/>
        <v>154861456.626073</v>
      </c>
      <c r="BJ19" s="225">
        <f aca="true" t="shared" si="65" ref="BJ19:BO19">SUM(BJ6:BJ18)</f>
        <v>168580883.116073</v>
      </c>
      <c r="BK19" s="226">
        <f t="shared" si="65"/>
        <v>190072668.096073</v>
      </c>
      <c r="BL19" s="225">
        <f t="shared" si="65"/>
        <v>161043923.886073</v>
      </c>
      <c r="BM19" s="226">
        <f t="shared" si="65"/>
        <v>199292720.496073</v>
      </c>
      <c r="BN19" s="225">
        <f t="shared" si="65"/>
        <v>157309353.23607302</v>
      </c>
      <c r="BO19" s="226">
        <f t="shared" si="65"/>
        <v>192215302.056073</v>
      </c>
      <c r="BP19" s="225">
        <f aca="true" t="shared" si="66" ref="BP19:BU19">SUM(BP6:BP18)</f>
        <v>187789669.006073</v>
      </c>
      <c r="BQ19" s="226">
        <f t="shared" si="66"/>
        <v>225118413.25607297</v>
      </c>
      <c r="BR19" s="225">
        <f t="shared" si="66"/>
        <v>191955812.186073</v>
      </c>
      <c r="BS19" s="226">
        <f t="shared" si="66"/>
        <v>224651436.576073</v>
      </c>
      <c r="BT19" s="225">
        <f t="shared" si="66"/>
        <v>153594039.72</v>
      </c>
      <c r="BU19" s="226">
        <f t="shared" si="66"/>
        <v>196817289.376073</v>
      </c>
      <c r="BV19" s="225">
        <f aca="true" t="shared" si="67" ref="BV19:CA19">SUM(BV6:BV18)</f>
        <v>114092768.39607303</v>
      </c>
      <c r="BW19" s="226">
        <f t="shared" si="67"/>
        <v>129961932.64607303</v>
      </c>
      <c r="BX19" s="225">
        <f t="shared" si="67"/>
        <v>163210482.476073</v>
      </c>
      <c r="BY19" s="226">
        <f t="shared" si="67"/>
        <v>164040064.516073</v>
      </c>
      <c r="BZ19" s="225">
        <f t="shared" si="67"/>
        <v>160817735.99773964</v>
      </c>
      <c r="CA19" s="226">
        <f t="shared" si="67"/>
        <v>161442848.68773964</v>
      </c>
      <c r="CB19" s="225">
        <f aca="true" t="shared" si="68" ref="CB19:CG19">SUM(CB6:CB18)</f>
        <v>124935480.80773968</v>
      </c>
      <c r="CC19" s="226">
        <f t="shared" si="68"/>
        <v>126814996.05773968</v>
      </c>
      <c r="CD19" s="225">
        <f t="shared" si="68"/>
        <v>121998967.61773965</v>
      </c>
      <c r="CE19" s="226">
        <f t="shared" si="68"/>
        <v>133555570.61773965</v>
      </c>
      <c r="CF19" s="225">
        <f t="shared" si="68"/>
        <v>112605171.85773967</v>
      </c>
      <c r="CG19" s="226">
        <f t="shared" si="68"/>
        <v>113015220.85773967</v>
      </c>
      <c r="CH19" s="225">
        <f aca="true" t="shared" si="69" ref="CH19:CM19">SUM(CH6:CH18)</f>
        <v>131125060.11773968</v>
      </c>
      <c r="CI19" s="226">
        <f t="shared" si="69"/>
        <v>131843096.11773968</v>
      </c>
      <c r="CJ19" s="225">
        <f t="shared" si="69"/>
        <v>139057352.7777397</v>
      </c>
      <c r="CK19" s="226">
        <f t="shared" si="69"/>
        <v>144305373.7777397</v>
      </c>
      <c r="CL19" s="225">
        <f t="shared" si="69"/>
        <v>146671173.8177397</v>
      </c>
      <c r="CM19" s="226">
        <f t="shared" si="69"/>
        <v>147147218.6577397</v>
      </c>
      <c r="CN19" s="225">
        <f aca="true" t="shared" si="70" ref="CN19:CS19">SUM(CN6:CN18)</f>
        <v>128950304.99773964</v>
      </c>
      <c r="CO19" s="226">
        <f t="shared" si="70"/>
        <v>129853765.99773964</v>
      </c>
      <c r="CP19" s="225">
        <f t="shared" si="70"/>
        <v>137335747.20773965</v>
      </c>
      <c r="CQ19" s="226">
        <f t="shared" si="70"/>
        <v>146362809.20773965</v>
      </c>
      <c r="CR19" s="225">
        <f t="shared" si="70"/>
        <v>117912204.34773968</v>
      </c>
      <c r="CS19" s="226">
        <f t="shared" si="70"/>
        <v>141027627.6577397</v>
      </c>
      <c r="CT19" s="225">
        <f aca="true" t="shared" si="71" ref="CT19:CY19">SUM(CT6:CT18)</f>
        <v>96246816.0777397</v>
      </c>
      <c r="CU19" s="226">
        <f t="shared" si="71"/>
        <v>98497186.3477397</v>
      </c>
      <c r="CV19" s="225">
        <f t="shared" si="71"/>
        <v>118875941.11199999</v>
      </c>
      <c r="CW19" s="226">
        <f t="shared" si="71"/>
        <v>152937040.17773968</v>
      </c>
      <c r="CX19" s="225">
        <f t="shared" si="71"/>
        <v>141890250.38773972</v>
      </c>
      <c r="CY19" s="226">
        <f t="shared" si="71"/>
        <v>144963827.38773972</v>
      </c>
      <c r="CZ19" s="225">
        <f aca="true" t="shared" si="72" ref="CZ19:DE19">SUM(CZ6:CZ18)</f>
        <v>121656860.8577397</v>
      </c>
      <c r="DA19" s="226">
        <f t="shared" si="72"/>
        <v>122038631.8577397</v>
      </c>
      <c r="DB19" s="225">
        <f t="shared" si="72"/>
        <v>134548045.0977397</v>
      </c>
      <c r="DC19" s="226">
        <f t="shared" si="72"/>
        <v>135784093.0977397</v>
      </c>
      <c r="DD19" s="225">
        <f t="shared" si="72"/>
        <v>122447225.84773971</v>
      </c>
      <c r="DE19" s="226">
        <f t="shared" si="72"/>
        <v>141744087.4777397</v>
      </c>
      <c r="DF19" s="225">
        <f>SUM(DF6:DF18)</f>
        <v>149017883.3677397</v>
      </c>
      <c r="DG19" s="226">
        <f>SUM(DG6:DG18)</f>
        <v>168893197.3677397</v>
      </c>
      <c r="DH19" s="225">
        <f>SUM(DH6:DH18)</f>
        <v>146980370.47</v>
      </c>
      <c r="DI19" s="226">
        <f>SUM(DI6:DI18)</f>
        <v>161624475.6277397</v>
      </c>
    </row>
    <row r="20" spans="1:113" ht="14.25" thickBot="1" thickTop="1">
      <c r="A20" s="212" t="s">
        <v>266</v>
      </c>
      <c r="B20" s="208"/>
      <c r="C20" s="209">
        <f>C19-B19</f>
        <v>16354314</v>
      </c>
      <c r="D20" s="208"/>
      <c r="E20" s="209">
        <f>E19-D19</f>
        <v>26425734.330000013</v>
      </c>
      <c r="F20" s="208"/>
      <c r="G20" s="209">
        <f>G19-F19</f>
        <v>14477013.930000007</v>
      </c>
      <c r="H20" s="208"/>
      <c r="I20" s="209">
        <f>I19-H19</f>
        <v>-14968623.200000003</v>
      </c>
      <c r="J20" s="208"/>
      <c r="K20" s="209">
        <f>K19-J19</f>
        <v>-207847</v>
      </c>
      <c r="L20" s="208"/>
      <c r="M20" s="209">
        <f>M19-L19</f>
        <v>35566362.989999995</v>
      </c>
      <c r="N20" s="208"/>
      <c r="O20" s="209">
        <f>O19-N19</f>
        <v>18158480.03999999</v>
      </c>
      <c r="P20" s="208"/>
      <c r="Q20" s="209">
        <f>Q19-P19</f>
        <v>14242926.25</v>
      </c>
      <c r="R20" s="208"/>
      <c r="S20" s="209">
        <f>S19-R19</f>
        <v>2252069.4099999964</v>
      </c>
      <c r="T20" s="208"/>
      <c r="U20" s="209">
        <f>U19-T19</f>
        <v>3928896</v>
      </c>
      <c r="V20" s="208"/>
      <c r="W20" s="209">
        <f>W19-V19</f>
        <v>513436.3600000143</v>
      </c>
      <c r="X20" s="208"/>
      <c r="Y20" s="209">
        <f>Y19-X19</f>
        <v>68498777.39</v>
      </c>
      <c r="Z20" s="208"/>
      <c r="AA20" s="209">
        <f>AA19-Z19</f>
        <v>38103590.14300001</v>
      </c>
      <c r="AB20" s="208"/>
      <c r="AC20" s="209">
        <f>AC19-AB19</f>
        <v>64352660.609999985</v>
      </c>
      <c r="AD20" s="208"/>
      <c r="AE20" s="209">
        <f>AE19-AD19</f>
        <v>69564164.76999998</v>
      </c>
      <c r="AF20" s="208"/>
      <c r="AG20" s="209">
        <f>AG19-AF19</f>
        <v>31644784.589999974</v>
      </c>
      <c r="AH20" s="208"/>
      <c r="AI20" s="209">
        <f>AI19-AH19</f>
        <v>62808335.94</v>
      </c>
      <c r="AJ20" s="208"/>
      <c r="AK20" s="209">
        <f>AK19-AJ19</f>
        <v>64453733.749999985</v>
      </c>
      <c r="AL20" s="208"/>
      <c r="AM20" s="209">
        <f>AM19-AL19</f>
        <v>56988104.43000001</v>
      </c>
      <c r="AN20" s="208"/>
      <c r="AO20" s="209">
        <f>AO19-AN19</f>
        <v>79480540.32</v>
      </c>
      <c r="AP20" s="208"/>
      <c r="AQ20" s="209">
        <f>AQ19-AP19</f>
        <v>73271804.00999999</v>
      </c>
      <c r="AR20" s="208"/>
      <c r="AS20" s="209">
        <f>AS19-AR19</f>
        <v>64672814.88773969</v>
      </c>
      <c r="AT20" s="208"/>
      <c r="AU20" s="209">
        <f>AU19-AT19</f>
        <v>69195344.48440635</v>
      </c>
      <c r="AV20" s="208"/>
      <c r="AW20" s="209">
        <f>AW19-AV19</f>
        <v>66636986.19999999</v>
      </c>
      <c r="AX20" s="208"/>
      <c r="AY20" s="209">
        <f>AY19-AX19</f>
        <v>30104552.550000012</v>
      </c>
      <c r="AZ20" s="208"/>
      <c r="BA20" s="209">
        <f>BA19-AZ19</f>
        <v>47741046.32000002</v>
      </c>
      <c r="BB20" s="208"/>
      <c r="BC20" s="209">
        <f>BC19-BB19</f>
        <v>59139585.900000036</v>
      </c>
      <c r="BD20" s="208"/>
      <c r="BE20" s="209">
        <f>BE19-BD19</f>
        <v>55036381.60000001</v>
      </c>
      <c r="BF20" s="208"/>
      <c r="BG20" s="209">
        <f>BG19-BF19</f>
        <v>26455342.00000003</v>
      </c>
      <c r="BH20" s="208"/>
      <c r="BI20" s="209">
        <f>BI19-BH19</f>
        <v>8744884.350000024</v>
      </c>
      <c r="BJ20" s="208"/>
      <c r="BK20" s="209">
        <f>BK19-BJ19</f>
        <v>21491784.97999999</v>
      </c>
      <c r="BL20" s="208"/>
      <c r="BM20" s="209">
        <f>BM19-BL19</f>
        <v>38248796.610000014</v>
      </c>
      <c r="BN20" s="208"/>
      <c r="BO20" s="209">
        <f>BO19-BN19</f>
        <v>34905948.81999999</v>
      </c>
      <c r="BP20" s="208"/>
      <c r="BQ20" s="209">
        <f>BQ19-BP19</f>
        <v>37328744.24999997</v>
      </c>
      <c r="BR20" s="208"/>
      <c r="BS20" s="209">
        <f>BS19-BR19</f>
        <v>32695624.389999986</v>
      </c>
      <c r="BT20" s="208"/>
      <c r="BU20" s="209">
        <f>BU19-BT19</f>
        <v>43223249.656073004</v>
      </c>
      <c r="BV20" s="208"/>
      <c r="BW20" s="209">
        <f>BW19-BV19</f>
        <v>15869164.25</v>
      </c>
      <c r="BX20" s="208"/>
      <c r="BY20" s="209">
        <f>BY19-BX19</f>
        <v>829582.0399999917</v>
      </c>
      <c r="BZ20" s="208"/>
      <c r="CA20" s="209">
        <f>CA19-BZ19</f>
        <v>625112.6899999976</v>
      </c>
      <c r="CB20" s="208"/>
      <c r="CC20" s="209">
        <f>CC19-CB19</f>
        <v>1879515.25</v>
      </c>
      <c r="CD20" s="208"/>
      <c r="CE20" s="209">
        <f>CE19-CD19</f>
        <v>11556603</v>
      </c>
      <c r="CF20" s="208"/>
      <c r="CG20" s="209">
        <f>CG19-CF19</f>
        <v>410049</v>
      </c>
      <c r="CH20" s="208"/>
      <c r="CI20" s="209">
        <f>CI19-CH19</f>
        <v>718036</v>
      </c>
      <c r="CJ20" s="208"/>
      <c r="CK20" s="209">
        <f>CK19-CJ19</f>
        <v>5248021</v>
      </c>
      <c r="CL20" s="208"/>
      <c r="CM20" s="209">
        <f>CM19-CL19</f>
        <v>476044.8400000036</v>
      </c>
      <c r="CN20" s="208"/>
      <c r="CO20" s="209">
        <f>CO19-CN19</f>
        <v>903461</v>
      </c>
      <c r="CP20" s="208"/>
      <c r="CQ20" s="209">
        <f>CQ19-CP19</f>
        <v>9027062</v>
      </c>
      <c r="CR20" s="208"/>
      <c r="CS20" s="209">
        <f>CS19-CR19</f>
        <v>23115423.310000017</v>
      </c>
      <c r="CT20" s="208"/>
      <c r="CU20" s="209">
        <f>CU19-CT19</f>
        <v>2250370.269999996</v>
      </c>
      <c r="CV20" s="208"/>
      <c r="CW20" s="209">
        <f>CW19-CV19</f>
        <v>34061099.06573969</v>
      </c>
      <c r="CX20" s="208"/>
      <c r="CY20" s="209">
        <f>CY19-CX19</f>
        <v>3073577</v>
      </c>
      <c r="CZ20" s="208"/>
      <c r="DA20" s="209">
        <f>DA19-CZ19</f>
        <v>381771</v>
      </c>
      <c r="DB20" s="208"/>
      <c r="DC20" s="209">
        <f>DC19-DB19</f>
        <v>1236048</v>
      </c>
      <c r="DD20" s="208"/>
      <c r="DE20" s="209">
        <f>DE19-DD19</f>
        <v>19296861.62999998</v>
      </c>
      <c r="DF20" s="208"/>
      <c r="DG20" s="209">
        <f>DG19-DF19</f>
        <v>19875314</v>
      </c>
      <c r="DH20" s="208"/>
      <c r="DI20" s="209">
        <f>DI19-DH19</f>
        <v>14644105.157739699</v>
      </c>
    </row>
    <row r="21" spans="2:113" ht="12.75"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</row>
    <row r="22" spans="2:113" ht="12.75">
      <c r="B22" s="173"/>
      <c r="C22" s="175"/>
      <c r="D22" s="173"/>
      <c r="E22" s="175"/>
      <c r="F22" s="173"/>
      <c r="G22" s="175"/>
      <c r="H22" s="173"/>
      <c r="I22" s="175"/>
      <c r="J22" s="173"/>
      <c r="K22" s="175"/>
      <c r="L22" s="173"/>
      <c r="M22" s="175"/>
      <c r="N22" s="173"/>
      <c r="O22" s="175"/>
      <c r="P22" s="173"/>
      <c r="Q22" s="175"/>
      <c r="R22" s="173"/>
      <c r="S22" s="175"/>
      <c r="T22" s="173"/>
      <c r="U22" s="175"/>
      <c r="V22" s="173"/>
      <c r="W22" s="175"/>
      <c r="X22" s="173"/>
      <c r="Y22" s="175"/>
      <c r="Z22" s="173"/>
      <c r="AA22" s="175"/>
      <c r="AB22" s="173"/>
      <c r="AC22" s="175"/>
      <c r="AD22" s="173"/>
      <c r="AE22" s="175"/>
      <c r="AF22" s="173"/>
      <c r="AG22" s="175"/>
      <c r="AH22" s="173"/>
      <c r="AI22" s="175"/>
      <c r="AJ22" s="173"/>
      <c r="AK22" s="175"/>
      <c r="AL22" s="173"/>
      <c r="AM22" s="175"/>
      <c r="AN22" s="173"/>
      <c r="AO22" s="175"/>
      <c r="AP22" s="173"/>
      <c r="AQ22" s="175"/>
      <c r="AR22" s="173"/>
      <c r="AS22" s="175"/>
      <c r="AT22" s="173"/>
      <c r="AU22" s="175"/>
      <c r="AV22" s="173"/>
      <c r="AW22" s="175"/>
      <c r="AX22" s="173"/>
      <c r="AY22" s="175"/>
      <c r="AZ22" s="173"/>
      <c r="BA22" s="175"/>
      <c r="BB22" s="173"/>
      <c r="BC22" s="175"/>
      <c r="BD22" s="173"/>
      <c r="BE22" s="175"/>
      <c r="BF22" s="173"/>
      <c r="BG22" s="175"/>
      <c r="BH22" s="173"/>
      <c r="BI22" s="175"/>
      <c r="BJ22" s="173"/>
      <c r="BK22" s="175"/>
      <c r="BL22" s="173"/>
      <c r="BM22" s="175"/>
      <c r="BN22" s="173"/>
      <c r="BO22" s="175"/>
      <c r="BP22" s="173"/>
      <c r="BQ22" s="175"/>
      <c r="BR22" s="173"/>
      <c r="BS22" s="175"/>
      <c r="BT22" s="173"/>
      <c r="BU22" s="175"/>
      <c r="BV22" s="173"/>
      <c r="BW22" s="175"/>
      <c r="BX22" s="173"/>
      <c r="BY22" s="175"/>
      <c r="BZ22" s="173"/>
      <c r="CA22" s="175"/>
      <c r="CB22" s="173"/>
      <c r="CC22" s="175"/>
      <c r="CD22" s="173"/>
      <c r="CE22" s="175"/>
      <c r="CF22" s="173"/>
      <c r="CG22" s="175"/>
      <c r="CH22" s="173"/>
      <c r="CI22" s="175"/>
      <c r="CJ22" s="173"/>
      <c r="CK22" s="175"/>
      <c r="CL22" s="173"/>
      <c r="CM22" s="175"/>
      <c r="CN22" s="173"/>
      <c r="CO22" s="175"/>
      <c r="CP22" s="173"/>
      <c r="CQ22" s="175"/>
      <c r="CR22" s="173"/>
      <c r="CS22" s="175"/>
      <c r="CT22" s="173"/>
      <c r="CU22" s="175"/>
      <c r="CV22" s="173"/>
      <c r="CW22" s="175"/>
      <c r="CX22" s="173"/>
      <c r="CY22" s="175"/>
      <c r="CZ22" s="173"/>
      <c r="DA22" s="175"/>
      <c r="DB22" s="173"/>
      <c r="DC22" s="175"/>
      <c r="DD22" s="173"/>
      <c r="DE22" s="175"/>
      <c r="DF22" s="173"/>
      <c r="DG22" s="175"/>
      <c r="DH22" s="173"/>
      <c r="DI22" s="175"/>
    </row>
    <row r="23" spans="1:113" ht="13.5" thickBot="1">
      <c r="A23" s="1" t="s">
        <v>36</v>
      </c>
      <c r="B23" s="173"/>
      <c r="C23" s="175"/>
      <c r="D23" s="173"/>
      <c r="E23" s="175"/>
      <c r="F23" s="173"/>
      <c r="G23" s="175"/>
      <c r="H23" s="173"/>
      <c r="I23" s="175"/>
      <c r="J23" s="173"/>
      <c r="K23" s="175"/>
      <c r="L23" s="173"/>
      <c r="M23" s="175"/>
      <c r="N23" s="173"/>
      <c r="O23" s="175"/>
      <c r="P23" s="173"/>
      <c r="Q23" s="175"/>
      <c r="R23" s="173"/>
      <c r="S23" s="175"/>
      <c r="T23" s="173"/>
      <c r="U23" s="175"/>
      <c r="V23" s="173"/>
      <c r="W23" s="175"/>
      <c r="X23" s="173"/>
      <c r="Y23" s="175"/>
      <c r="Z23" s="173"/>
      <c r="AA23" s="175"/>
      <c r="AB23" s="173"/>
      <c r="AC23" s="175"/>
      <c r="AD23" s="173"/>
      <c r="AE23" s="175"/>
      <c r="AF23" s="173"/>
      <c r="AG23" s="175"/>
      <c r="AH23" s="173"/>
      <c r="AI23" s="175"/>
      <c r="AJ23" s="173"/>
      <c r="AK23" s="175"/>
      <c r="AL23" s="173"/>
      <c r="AM23" s="175"/>
      <c r="AN23" s="173"/>
      <c r="AO23" s="175"/>
      <c r="AP23" s="173"/>
      <c r="AQ23" s="175"/>
      <c r="AR23" s="173"/>
      <c r="AS23" s="175"/>
      <c r="AT23" s="173"/>
      <c r="AU23" s="175"/>
      <c r="AV23" s="173"/>
      <c r="AW23" s="175"/>
      <c r="AX23" s="173"/>
      <c r="AY23" s="175"/>
      <c r="AZ23" s="173"/>
      <c r="BA23" s="175"/>
      <c r="BB23" s="173"/>
      <c r="BC23" s="175"/>
      <c r="BD23" s="173"/>
      <c r="BE23" s="175"/>
      <c r="BF23" s="173"/>
      <c r="BG23" s="175"/>
      <c r="BH23" s="173"/>
      <c r="BI23" s="175"/>
      <c r="BJ23" s="173"/>
      <c r="BK23" s="175"/>
      <c r="BL23" s="173"/>
      <c r="BM23" s="175"/>
      <c r="BN23" s="173"/>
      <c r="BO23" s="175"/>
      <c r="BP23" s="173"/>
      <c r="BQ23" s="175"/>
      <c r="BR23" s="173"/>
      <c r="BS23" s="175"/>
      <c r="BT23" s="173"/>
      <c r="BU23" s="175"/>
      <c r="BV23" s="173"/>
      <c r="BW23" s="175"/>
      <c r="BX23" s="173"/>
      <c r="BY23" s="175"/>
      <c r="BZ23" s="173"/>
      <c r="CA23" s="175"/>
      <c r="CB23" s="173"/>
      <c r="CC23" s="175"/>
      <c r="CD23" s="173"/>
      <c r="CE23" s="175"/>
      <c r="CF23" s="173"/>
      <c r="CG23" s="175"/>
      <c r="CH23" s="173"/>
      <c r="CI23" s="175"/>
      <c r="CJ23" s="173"/>
      <c r="CK23" s="175"/>
      <c r="CL23" s="173"/>
      <c r="CM23" s="175"/>
      <c r="CN23" s="173"/>
      <c r="CO23" s="175"/>
      <c r="CP23" s="173"/>
      <c r="CQ23" s="175"/>
      <c r="CR23" s="173"/>
      <c r="CS23" s="175"/>
      <c r="CT23" s="173"/>
      <c r="CU23" s="175"/>
      <c r="CV23" s="173"/>
      <c r="CW23" s="175"/>
      <c r="CX23" s="173"/>
      <c r="CY23" s="175"/>
      <c r="CZ23" s="173"/>
      <c r="DA23" s="175"/>
      <c r="DB23" s="173"/>
      <c r="DC23" s="175"/>
      <c r="DD23" s="173"/>
      <c r="DE23" s="175"/>
      <c r="DF23" s="173"/>
      <c r="DG23" s="175"/>
      <c r="DH23" s="173"/>
      <c r="DI23" s="175"/>
    </row>
    <row r="24" spans="2:113" ht="13.5" thickBot="1">
      <c r="B24" s="200" t="str">
        <f>+B3</f>
        <v>30/06/2015</v>
      </c>
      <c r="C24" s="175"/>
      <c r="D24" s="200" t="str">
        <f>+D3</f>
        <v>31/07/2015</v>
      </c>
      <c r="E24" s="175"/>
      <c r="F24" s="200" t="str">
        <f>+F3</f>
        <v>31/08/2015</v>
      </c>
      <c r="G24" s="175"/>
      <c r="H24" s="200" t="str">
        <f>+H3</f>
        <v>30/09/2015</v>
      </c>
      <c r="I24" s="175"/>
      <c r="J24" s="200" t="str">
        <f>+J3</f>
        <v>31/10/2015</v>
      </c>
      <c r="K24" s="175"/>
      <c r="L24" s="200" t="str">
        <f>+L3</f>
        <v>30/11/2015</v>
      </c>
      <c r="M24" s="175"/>
      <c r="N24" s="200" t="str">
        <f>+N3</f>
        <v>31/12/2015</v>
      </c>
      <c r="O24" s="175"/>
      <c r="P24" s="200" t="str">
        <f>+P3</f>
        <v>31/01/2016</v>
      </c>
      <c r="Q24" s="175"/>
      <c r="R24" s="200" t="str">
        <f>+R3</f>
        <v>28/02/2016</v>
      </c>
      <c r="S24" s="175"/>
      <c r="T24" s="200" t="str">
        <f>+T3</f>
        <v>31/03/2016</v>
      </c>
      <c r="U24" s="175"/>
      <c r="V24" s="200" t="str">
        <f>+V3</f>
        <v>30/04/2016</v>
      </c>
      <c r="W24" s="175"/>
      <c r="X24" s="200" t="str">
        <f>+X3</f>
        <v>31/05/2016</v>
      </c>
      <c r="Y24" s="175"/>
      <c r="Z24" s="200" t="str">
        <f>+Z3</f>
        <v>30/06/2017</v>
      </c>
      <c r="AA24" s="175"/>
      <c r="AB24" s="200" t="str">
        <f>+AB3</f>
        <v>31/07/2016</v>
      </c>
      <c r="AC24" s="175"/>
      <c r="AD24" s="200" t="str">
        <f>+AD3</f>
        <v>31/08/2016</v>
      </c>
      <c r="AE24" s="175"/>
      <c r="AF24" s="200" t="str">
        <f>+AF3</f>
        <v>30/09/2016</v>
      </c>
      <c r="AG24" s="175"/>
      <c r="AH24" s="200" t="str">
        <f>+AH3</f>
        <v>31/10/2016</v>
      </c>
      <c r="AI24" s="175"/>
      <c r="AJ24" s="200" t="str">
        <f>+AJ3</f>
        <v>30/11/2016</v>
      </c>
      <c r="AK24" s="175"/>
      <c r="AL24" s="200" t="str">
        <f>+AL3</f>
        <v>31/12/2016</v>
      </c>
      <c r="AM24" s="175"/>
      <c r="AN24" s="200" t="str">
        <f>+AN3</f>
        <v>31/01/2017</v>
      </c>
      <c r="AO24" s="175"/>
      <c r="AP24" s="200" t="str">
        <f>+AP3</f>
        <v>28/02/2017</v>
      </c>
      <c r="AQ24" s="175"/>
      <c r="AR24" s="200" t="str">
        <f>+AR3</f>
        <v>31/03/2017</v>
      </c>
      <c r="AS24" s="175"/>
      <c r="AT24" s="200" t="str">
        <f>+AT3</f>
        <v>30/04/2017</v>
      </c>
      <c r="AU24" s="175"/>
      <c r="AV24" s="200" t="str">
        <f>+AV3</f>
        <v>31/05/2017</v>
      </c>
      <c r="AW24" s="175"/>
      <c r="AX24" s="200" t="str">
        <f>+AX3</f>
        <v>30/06/2017</v>
      </c>
      <c r="AY24" s="175"/>
      <c r="AZ24" s="200" t="str">
        <f>+AZ3</f>
        <v>31/7/2017</v>
      </c>
      <c r="BA24" s="175"/>
      <c r="BB24" s="200" t="str">
        <f>+BB3</f>
        <v>31/8/2017</v>
      </c>
      <c r="BC24" s="175"/>
      <c r="BD24" s="200" t="str">
        <f>+BD3</f>
        <v>30/9/2017</v>
      </c>
      <c r="BE24" s="175"/>
      <c r="BF24" s="200" t="str">
        <f>+BF3</f>
        <v>31/10/2017</v>
      </c>
      <c r="BG24" s="175"/>
      <c r="BH24" s="200" t="str">
        <f>+BH3</f>
        <v>30/11/2017</v>
      </c>
      <c r="BI24" s="175"/>
      <c r="BJ24" s="200" t="str">
        <f>+BJ3</f>
        <v>31/12/2017</v>
      </c>
      <c r="BK24" s="175"/>
      <c r="BL24" s="200" t="str">
        <f>+BL3</f>
        <v>31/01/2018</v>
      </c>
      <c r="BM24" s="175"/>
      <c r="BN24" s="200" t="str">
        <f>+BN3</f>
        <v>28/02/2018</v>
      </c>
      <c r="BO24" s="175"/>
      <c r="BP24" s="200" t="str">
        <f>+BP3</f>
        <v>31/03/2018</v>
      </c>
      <c r="BQ24" s="175"/>
      <c r="BR24" s="200" t="str">
        <f>+BR3</f>
        <v>30/04/2018</v>
      </c>
      <c r="BS24" s="175"/>
      <c r="BT24" s="200" t="str">
        <f>+BT3</f>
        <v>31/05/2018</v>
      </c>
      <c r="BU24" s="175"/>
      <c r="BV24" s="200" t="str">
        <f>+BV3</f>
        <v>30/06/2018</v>
      </c>
      <c r="BW24" s="175"/>
      <c r="BX24" s="200" t="str">
        <f>+BX3</f>
        <v>31/07/2018</v>
      </c>
      <c r="BY24" s="175"/>
      <c r="BZ24" s="200" t="str">
        <f>+BZ3</f>
        <v>31/08/2018</v>
      </c>
      <c r="CA24" s="175"/>
      <c r="CB24" s="200" t="str">
        <f>+CB3</f>
        <v>30/09/2018</v>
      </c>
      <c r="CC24" s="175"/>
      <c r="CD24" s="200" t="str">
        <f>+CD3</f>
        <v>31/10/2018</v>
      </c>
      <c r="CE24" s="175"/>
      <c r="CF24" s="200" t="str">
        <f>+CF3</f>
        <v>30/11/2018</v>
      </c>
      <c r="CG24" s="175"/>
      <c r="CH24" s="200" t="str">
        <f>+CH3</f>
        <v>31/12/2018</v>
      </c>
      <c r="CI24" s="175"/>
      <c r="CJ24" s="200" t="str">
        <f>+CJ3</f>
        <v>31/01/2019</v>
      </c>
      <c r="CK24" s="175"/>
      <c r="CL24" s="200" t="str">
        <f>+CL3</f>
        <v>28/02/2019</v>
      </c>
      <c r="CM24" s="175"/>
      <c r="CN24" s="200" t="str">
        <f>+CN3</f>
        <v>31/03/2019</v>
      </c>
      <c r="CO24" s="175"/>
      <c r="CP24" s="200" t="str">
        <f>+CP3</f>
        <v>30/04/2019</v>
      </c>
      <c r="CQ24" s="175"/>
      <c r="CR24" s="200" t="str">
        <f>+CR3</f>
        <v>31/05/2019</v>
      </c>
      <c r="CS24" s="175"/>
      <c r="CT24" s="200" t="str">
        <f>+CT3</f>
        <v>30/06/2019</v>
      </c>
      <c r="CU24" s="175"/>
      <c r="CV24" s="200" t="str">
        <f>+CV3</f>
        <v>31/07/2019</v>
      </c>
      <c r="CW24" s="175"/>
      <c r="CX24" s="200" t="str">
        <f>+CX3</f>
        <v>31/08/2019</v>
      </c>
      <c r="CY24" s="175"/>
      <c r="CZ24" s="200" t="str">
        <f>+CZ3</f>
        <v>30/09/2019</v>
      </c>
      <c r="DA24" s="175"/>
      <c r="DB24" s="200" t="str">
        <f>+DB3</f>
        <v>31/10/2019</v>
      </c>
      <c r="DC24" s="175"/>
      <c r="DD24" s="200" t="str">
        <f>+DD3</f>
        <v>30/11/2019</v>
      </c>
      <c r="DE24" s="175"/>
      <c r="DF24" s="200" t="str">
        <f>+DF3</f>
        <v>31/12/2019</v>
      </c>
      <c r="DG24" s="175"/>
      <c r="DH24" s="200" t="str">
        <f>+DH3</f>
        <v>31/01/2020</v>
      </c>
      <c r="DI24" s="175"/>
    </row>
    <row r="25" spans="1:113" ht="12.75">
      <c r="A25" s="39" t="s">
        <v>37</v>
      </c>
      <c r="B25" s="201">
        <v>10000000</v>
      </c>
      <c r="C25" s="175"/>
      <c r="D25" s="201">
        <v>20000000</v>
      </c>
      <c r="E25" s="175"/>
      <c r="F25" s="201">
        <v>15000000</v>
      </c>
      <c r="G25" s="175"/>
      <c r="H25" s="201">
        <v>0</v>
      </c>
      <c r="I25" s="175"/>
      <c r="J25" s="201">
        <v>10000000</v>
      </c>
      <c r="K25" s="175"/>
      <c r="L25" s="201">
        <v>10000000</v>
      </c>
      <c r="M25" s="175"/>
      <c r="N25" s="201">
        <v>10000000</v>
      </c>
      <c r="O25" s="175"/>
      <c r="P25" s="201">
        <v>10000000</v>
      </c>
      <c r="Q25" s="175"/>
      <c r="R25" s="201">
        <v>5000000</v>
      </c>
      <c r="S25" s="175"/>
      <c r="T25" s="201">
        <v>20000000</v>
      </c>
      <c r="U25" s="175"/>
      <c r="V25" s="201">
        <v>15000000</v>
      </c>
      <c r="W25" s="175"/>
      <c r="X25" s="201">
        <v>20000000</v>
      </c>
      <c r="Y25" s="175"/>
      <c r="Z25" s="201">
        <v>15000000</v>
      </c>
      <c r="AA25" s="175"/>
      <c r="AB25" s="201">
        <v>15000000</v>
      </c>
      <c r="AC25" s="175"/>
      <c r="AD25" s="201">
        <v>20000000</v>
      </c>
      <c r="AE25" s="175"/>
      <c r="AF25" s="201">
        <v>15000000</v>
      </c>
      <c r="AG25" s="175"/>
      <c r="AH25" s="201">
        <v>15000000</v>
      </c>
      <c r="AI25" s="175"/>
      <c r="AJ25" s="201">
        <v>30000000</v>
      </c>
      <c r="AK25" s="175"/>
      <c r="AL25" s="201">
        <v>25000000</v>
      </c>
      <c r="AM25" s="175"/>
      <c r="AN25" s="201">
        <v>35000000</v>
      </c>
      <c r="AO25" s="175"/>
      <c r="AP25" s="201">
        <v>45000000</v>
      </c>
      <c r="AQ25" s="175"/>
      <c r="AR25" s="201">
        <v>45000000</v>
      </c>
      <c r="AS25" s="175"/>
      <c r="AT25" s="201">
        <v>55000000</v>
      </c>
      <c r="AU25" s="175"/>
      <c r="AV25" s="201">
        <v>35000000</v>
      </c>
      <c r="AW25" s="175"/>
      <c r="AX25" s="201">
        <v>15000000</v>
      </c>
      <c r="AY25" s="175"/>
      <c r="AZ25" s="201">
        <v>15000000</v>
      </c>
      <c r="BA25" s="175"/>
      <c r="BB25" s="201">
        <v>25000000</v>
      </c>
      <c r="BC25" s="175"/>
      <c r="BD25" s="201">
        <v>30000000</v>
      </c>
      <c r="BE25" s="175"/>
      <c r="BF25" s="201">
        <v>20000000</v>
      </c>
      <c r="BG25" s="175"/>
      <c r="BH25" s="201">
        <v>25000000</v>
      </c>
      <c r="BI25" s="175"/>
      <c r="BJ25" s="201">
        <v>25000000</v>
      </c>
      <c r="BK25" s="175"/>
      <c r="BL25" s="201">
        <v>25000000</v>
      </c>
      <c r="BM25" s="175"/>
      <c r="BN25" s="201">
        <v>25000000</v>
      </c>
      <c r="BO25" s="175"/>
      <c r="BP25" s="201">
        <v>15000000</v>
      </c>
      <c r="BQ25" s="175"/>
      <c r="BR25" s="201">
        <v>30000000</v>
      </c>
      <c r="BS25" s="175"/>
      <c r="BT25" s="201">
        <v>20000000</v>
      </c>
      <c r="BU25" s="175"/>
      <c r="BV25" s="201">
        <v>5000000</v>
      </c>
      <c r="BW25" s="175"/>
      <c r="BX25" s="201">
        <v>15000000</v>
      </c>
      <c r="BY25" s="175"/>
      <c r="BZ25" s="201">
        <v>10000000</v>
      </c>
      <c r="CA25" s="175"/>
      <c r="CB25" s="201">
        <v>15000000</v>
      </c>
      <c r="CC25" s="175"/>
      <c r="CD25" s="201">
        <v>5000000</v>
      </c>
      <c r="CE25" s="175"/>
      <c r="CF25" s="201">
        <v>5000000</v>
      </c>
      <c r="CG25" s="175"/>
      <c r="CH25" s="201">
        <v>5000000</v>
      </c>
      <c r="CI25" s="175"/>
      <c r="CJ25" s="201">
        <v>15000000</v>
      </c>
      <c r="CK25" s="175"/>
      <c r="CL25" s="201">
        <v>10000000</v>
      </c>
      <c r="CM25" s="175"/>
      <c r="CN25" s="201">
        <v>10000000</v>
      </c>
      <c r="CO25" s="175"/>
      <c r="CP25" s="201">
        <v>0</v>
      </c>
      <c r="CQ25" s="175"/>
      <c r="CR25" s="201">
        <v>0</v>
      </c>
      <c r="CS25" s="175"/>
      <c r="CT25" s="201">
        <v>0</v>
      </c>
      <c r="CU25" s="175"/>
      <c r="CV25" s="201">
        <v>10000000</v>
      </c>
      <c r="CW25" s="175"/>
      <c r="CX25" s="201">
        <v>10000000</v>
      </c>
      <c r="CY25" s="175"/>
      <c r="CZ25" s="201">
        <v>5000000</v>
      </c>
      <c r="DA25" s="175"/>
      <c r="DB25" s="201">
        <v>0</v>
      </c>
      <c r="DC25" s="175"/>
      <c r="DD25" s="201">
        <v>5000000</v>
      </c>
      <c r="DE25" s="175"/>
      <c r="DF25" s="201">
        <v>5000000</v>
      </c>
      <c r="DG25" s="175"/>
      <c r="DH25" s="201">
        <v>5000000</v>
      </c>
      <c r="DI25" s="175"/>
    </row>
    <row r="26" spans="1:113" ht="12.75">
      <c r="A26" s="39" t="s">
        <v>38</v>
      </c>
      <c r="B26" s="201">
        <v>5000000</v>
      </c>
      <c r="C26" s="175"/>
      <c r="D26" s="201">
        <v>25000000</v>
      </c>
      <c r="E26" s="175"/>
      <c r="F26" s="201">
        <v>15000000</v>
      </c>
      <c r="G26" s="175"/>
      <c r="H26" s="201">
        <v>5000000</v>
      </c>
      <c r="I26" s="175"/>
      <c r="J26" s="201">
        <v>20000000</v>
      </c>
      <c r="K26" s="175"/>
      <c r="L26" s="201">
        <v>20000000</v>
      </c>
      <c r="M26" s="175"/>
      <c r="N26" s="201">
        <v>20000000</v>
      </c>
      <c r="O26" s="175"/>
      <c r="P26" s="201">
        <v>20000000</v>
      </c>
      <c r="Q26" s="175"/>
      <c r="R26" s="201">
        <v>20000000</v>
      </c>
      <c r="S26" s="175"/>
      <c r="T26" s="201">
        <v>35000000</v>
      </c>
      <c r="U26" s="175"/>
      <c r="V26" s="201">
        <v>30000000</v>
      </c>
      <c r="W26" s="175"/>
      <c r="X26" s="201">
        <v>50000000</v>
      </c>
      <c r="Y26" s="175"/>
      <c r="Z26" s="201">
        <v>40000000</v>
      </c>
      <c r="AA26" s="175"/>
      <c r="AB26" s="201">
        <v>40000000</v>
      </c>
      <c r="AC26" s="175"/>
      <c r="AD26" s="201">
        <v>45000000</v>
      </c>
      <c r="AE26" s="175"/>
      <c r="AF26" s="201">
        <v>30000000</v>
      </c>
      <c r="AG26" s="175"/>
      <c r="AH26" s="201">
        <v>35000000</v>
      </c>
      <c r="AI26" s="175"/>
      <c r="AJ26" s="201">
        <v>50000000</v>
      </c>
      <c r="AK26" s="175"/>
      <c r="AL26" s="201">
        <v>50000000</v>
      </c>
      <c r="AM26" s="175"/>
      <c r="AN26" s="201">
        <v>45000000</v>
      </c>
      <c r="AO26" s="175"/>
      <c r="AP26" s="201">
        <v>50000000</v>
      </c>
      <c r="AQ26" s="175"/>
      <c r="AR26" s="201">
        <v>45000000</v>
      </c>
      <c r="AS26" s="175"/>
      <c r="AT26" s="201">
        <v>50000000</v>
      </c>
      <c r="AU26" s="175"/>
      <c r="AV26" s="201">
        <v>60000000</v>
      </c>
      <c r="AW26" s="175"/>
      <c r="AX26" s="201">
        <v>40000000</v>
      </c>
      <c r="AY26" s="175"/>
      <c r="AZ26" s="201">
        <v>45000000</v>
      </c>
      <c r="BA26" s="175"/>
      <c r="BB26" s="201">
        <v>40000000</v>
      </c>
      <c r="BC26" s="175"/>
      <c r="BD26" s="201">
        <v>35000000</v>
      </c>
      <c r="BE26" s="175"/>
      <c r="BF26" s="201">
        <v>20000000</v>
      </c>
      <c r="BG26" s="175"/>
      <c r="BH26" s="201">
        <v>20000000</v>
      </c>
      <c r="BI26" s="175"/>
      <c r="BJ26" s="201">
        <v>20000000</v>
      </c>
      <c r="BK26" s="175"/>
      <c r="BL26" s="201">
        <v>35000000</v>
      </c>
      <c r="BM26" s="175"/>
      <c r="BN26" s="201">
        <v>30000000</v>
      </c>
      <c r="BO26" s="175"/>
      <c r="BP26" s="201">
        <v>20000000</v>
      </c>
      <c r="BQ26" s="175"/>
      <c r="BR26" s="201">
        <v>40000000</v>
      </c>
      <c r="BS26" s="175"/>
      <c r="BT26" s="201">
        <v>35000000</v>
      </c>
      <c r="BU26" s="175"/>
      <c r="BV26" s="201">
        <v>15000000</v>
      </c>
      <c r="BW26" s="175"/>
      <c r="BX26" s="201">
        <v>20000000</v>
      </c>
      <c r="BY26" s="175"/>
      <c r="BZ26" s="201">
        <v>15000000</v>
      </c>
      <c r="CA26" s="175"/>
      <c r="CB26" s="201">
        <v>15000000</v>
      </c>
      <c r="CC26" s="175"/>
      <c r="CD26" s="201">
        <v>10000000</v>
      </c>
      <c r="CE26" s="175"/>
      <c r="CF26" s="201">
        <v>10000000</v>
      </c>
      <c r="CG26" s="175"/>
      <c r="CH26" s="201">
        <v>10000000</v>
      </c>
      <c r="CI26" s="175"/>
      <c r="CJ26" s="201">
        <v>15000000</v>
      </c>
      <c r="CK26" s="175"/>
      <c r="CL26" s="201">
        <v>20000000</v>
      </c>
      <c r="CM26" s="175"/>
      <c r="CN26" s="201">
        <v>10000000</v>
      </c>
      <c r="CO26" s="175"/>
      <c r="CP26" s="201">
        <v>20000000</v>
      </c>
      <c r="CQ26" s="175"/>
      <c r="CR26" s="201">
        <v>15000000</v>
      </c>
      <c r="CS26" s="175"/>
      <c r="CT26" s="201">
        <v>10000000</v>
      </c>
      <c r="CU26" s="175"/>
      <c r="CV26" s="201">
        <v>25000000</v>
      </c>
      <c r="CW26" s="175"/>
      <c r="CX26" s="201">
        <v>20000000</v>
      </c>
      <c r="CY26" s="175"/>
      <c r="CZ26" s="201">
        <v>5000000</v>
      </c>
      <c r="DA26" s="175"/>
      <c r="DB26" s="201">
        <v>10000000</v>
      </c>
      <c r="DC26" s="175"/>
      <c r="DD26" s="201">
        <v>25000000</v>
      </c>
      <c r="DE26" s="175"/>
      <c r="DF26" s="201">
        <v>25000000</v>
      </c>
      <c r="DG26" s="175"/>
      <c r="DH26" s="201">
        <v>35000000</v>
      </c>
      <c r="DI26" s="175"/>
    </row>
    <row r="27" spans="1:113" ht="12.75">
      <c r="A27" s="39" t="s">
        <v>39</v>
      </c>
      <c r="B27" s="201">
        <v>0</v>
      </c>
      <c r="C27" s="175"/>
      <c r="D27" s="201">
        <v>5000000</v>
      </c>
      <c r="E27" s="175"/>
      <c r="F27" s="201">
        <v>5000000</v>
      </c>
      <c r="G27" s="175"/>
      <c r="H27" s="201">
        <v>0</v>
      </c>
      <c r="I27" s="175"/>
      <c r="J27" s="201">
        <v>0</v>
      </c>
      <c r="K27" s="175"/>
      <c r="L27" s="201">
        <v>0</v>
      </c>
      <c r="M27" s="175"/>
      <c r="N27" s="201">
        <v>0</v>
      </c>
      <c r="O27" s="175"/>
      <c r="P27" s="201">
        <v>0</v>
      </c>
      <c r="Q27" s="175"/>
      <c r="R27" s="201">
        <v>0</v>
      </c>
      <c r="S27" s="175"/>
      <c r="T27" s="201">
        <v>0</v>
      </c>
      <c r="U27" s="175"/>
      <c r="V27" s="201">
        <v>0</v>
      </c>
      <c r="W27" s="175"/>
      <c r="X27" s="201">
        <v>0</v>
      </c>
      <c r="Y27" s="175"/>
      <c r="Z27" s="201">
        <v>0</v>
      </c>
      <c r="AA27" s="175"/>
      <c r="AB27" s="201">
        <v>0</v>
      </c>
      <c r="AC27" s="175"/>
      <c r="AD27" s="201">
        <v>0</v>
      </c>
      <c r="AE27" s="175"/>
      <c r="AF27" s="201">
        <v>0</v>
      </c>
      <c r="AG27" s="175"/>
      <c r="AH27" s="201">
        <v>0</v>
      </c>
      <c r="AI27" s="175"/>
      <c r="AJ27" s="201">
        <v>0</v>
      </c>
      <c r="AK27" s="175"/>
      <c r="AL27" s="201">
        <v>0</v>
      </c>
      <c r="AM27" s="175"/>
      <c r="AN27" s="201">
        <v>0</v>
      </c>
      <c r="AO27" s="175"/>
      <c r="AP27" s="201">
        <v>0</v>
      </c>
      <c r="AQ27" s="175"/>
      <c r="AR27" s="201">
        <v>0</v>
      </c>
      <c r="AS27" s="175"/>
      <c r="AT27" s="201">
        <v>0</v>
      </c>
      <c r="AU27" s="175"/>
      <c r="AV27" s="201">
        <v>0</v>
      </c>
      <c r="AW27" s="175"/>
      <c r="AX27" s="201">
        <v>0</v>
      </c>
      <c r="AY27" s="175"/>
      <c r="AZ27" s="201">
        <v>5000000</v>
      </c>
      <c r="BA27" s="175"/>
      <c r="BB27" s="201">
        <v>10000000</v>
      </c>
      <c r="BC27" s="175"/>
      <c r="BD27" s="201">
        <v>5000000</v>
      </c>
      <c r="BE27" s="175"/>
      <c r="BF27" s="201">
        <v>5000000</v>
      </c>
      <c r="BG27" s="175"/>
      <c r="BH27" s="201">
        <v>15000000</v>
      </c>
      <c r="BI27" s="175"/>
      <c r="BJ27" s="201">
        <v>15000000</v>
      </c>
      <c r="BK27" s="175"/>
      <c r="BL27" s="201">
        <v>20000000</v>
      </c>
      <c r="BM27" s="175"/>
      <c r="BN27" s="201">
        <v>20000000</v>
      </c>
      <c r="BO27" s="175"/>
      <c r="BP27" s="201">
        <v>15000000</v>
      </c>
      <c r="BQ27" s="175"/>
      <c r="BR27" s="201">
        <v>25000000</v>
      </c>
      <c r="BS27" s="175"/>
      <c r="BT27" s="201">
        <v>20000000</v>
      </c>
      <c r="BU27" s="175"/>
      <c r="BV27" s="201">
        <v>10000000</v>
      </c>
      <c r="BW27" s="175"/>
      <c r="BX27" s="201">
        <v>5000000</v>
      </c>
      <c r="BY27" s="175"/>
      <c r="BZ27" s="201">
        <v>5000000</v>
      </c>
      <c r="CA27" s="175"/>
      <c r="CB27" s="201">
        <v>0</v>
      </c>
      <c r="CC27" s="175"/>
      <c r="CD27" s="201">
        <v>0</v>
      </c>
      <c r="CE27" s="175"/>
      <c r="CF27" s="201">
        <v>0</v>
      </c>
      <c r="CG27" s="175"/>
      <c r="CH27" s="201">
        <v>0</v>
      </c>
      <c r="CI27" s="175"/>
      <c r="CJ27" s="201">
        <v>0</v>
      </c>
      <c r="CK27" s="175"/>
      <c r="CL27" s="201">
        <v>0</v>
      </c>
      <c r="CM27" s="175"/>
      <c r="CN27" s="201">
        <v>5000000</v>
      </c>
      <c r="CO27" s="175"/>
      <c r="CP27" s="201">
        <v>10000000</v>
      </c>
      <c r="CQ27" s="175"/>
      <c r="CR27" s="201">
        <v>10000000</v>
      </c>
      <c r="CS27" s="175"/>
      <c r="CT27" s="201">
        <v>0</v>
      </c>
      <c r="CU27" s="175"/>
      <c r="CV27" s="201">
        <v>0</v>
      </c>
      <c r="CW27" s="175"/>
      <c r="CX27" s="201">
        <v>0</v>
      </c>
      <c r="CY27" s="175"/>
      <c r="CZ27" s="201">
        <v>0</v>
      </c>
      <c r="DA27" s="175"/>
      <c r="DB27" s="201">
        <v>0</v>
      </c>
      <c r="DC27" s="175"/>
      <c r="DD27" s="201">
        <v>10000000</v>
      </c>
      <c r="DE27" s="175"/>
      <c r="DF27" s="201">
        <v>10000000</v>
      </c>
      <c r="DG27" s="175"/>
      <c r="DH27" s="201">
        <v>15000000</v>
      </c>
      <c r="DI27" s="175"/>
    </row>
    <row r="28" spans="1:113" ht="12.75">
      <c r="A28" s="39" t="s">
        <v>40</v>
      </c>
      <c r="B28" s="201">
        <v>5000000</v>
      </c>
      <c r="C28" s="175"/>
      <c r="D28" s="201">
        <v>20000000</v>
      </c>
      <c r="E28" s="175"/>
      <c r="F28" s="201">
        <v>20000000</v>
      </c>
      <c r="G28" s="175"/>
      <c r="H28" s="201">
        <v>0</v>
      </c>
      <c r="I28" s="175"/>
      <c r="J28" s="201">
        <v>10000000</v>
      </c>
      <c r="K28" s="175"/>
      <c r="L28" s="201">
        <v>10000000</v>
      </c>
      <c r="M28" s="175"/>
      <c r="N28" s="201">
        <v>10000000</v>
      </c>
      <c r="O28" s="175"/>
      <c r="P28" s="201">
        <v>10000000</v>
      </c>
      <c r="Q28" s="175"/>
      <c r="R28" s="201">
        <v>5000000</v>
      </c>
      <c r="S28" s="175"/>
      <c r="T28" s="201">
        <v>0</v>
      </c>
      <c r="U28" s="175"/>
      <c r="V28" s="201">
        <v>0</v>
      </c>
      <c r="W28" s="175"/>
      <c r="X28" s="201">
        <v>20000000</v>
      </c>
      <c r="Y28" s="175"/>
      <c r="Z28" s="201">
        <v>30000000</v>
      </c>
      <c r="AA28" s="175"/>
      <c r="AB28" s="201">
        <v>25000000</v>
      </c>
      <c r="AC28" s="175"/>
      <c r="AD28" s="201">
        <v>25000000</v>
      </c>
      <c r="AE28" s="175"/>
      <c r="AF28" s="201">
        <v>10000000</v>
      </c>
      <c r="AG28" s="175"/>
      <c r="AH28" s="201">
        <v>25000000</v>
      </c>
      <c r="AI28" s="175"/>
      <c r="AJ28" s="201">
        <v>35000000</v>
      </c>
      <c r="AK28" s="175"/>
      <c r="AL28" s="201">
        <v>30000000</v>
      </c>
      <c r="AM28" s="175"/>
      <c r="AN28" s="201">
        <v>30000000</v>
      </c>
      <c r="AO28" s="175"/>
      <c r="AP28" s="201">
        <v>40000000</v>
      </c>
      <c r="AQ28" s="175"/>
      <c r="AR28" s="201">
        <v>35000000</v>
      </c>
      <c r="AS28" s="175"/>
      <c r="AT28" s="201">
        <v>30000000</v>
      </c>
      <c r="AU28" s="175"/>
      <c r="AV28" s="201">
        <v>40000000</v>
      </c>
      <c r="AW28" s="175"/>
      <c r="AX28" s="201">
        <v>30000000</v>
      </c>
      <c r="AY28" s="175"/>
      <c r="AZ28" s="201">
        <v>30000000</v>
      </c>
      <c r="BA28" s="175"/>
      <c r="BB28" s="201">
        <v>30000000</v>
      </c>
      <c r="BC28" s="175"/>
      <c r="BD28" s="201">
        <v>25000000</v>
      </c>
      <c r="BE28" s="175"/>
      <c r="BF28" s="201">
        <v>15000000</v>
      </c>
      <c r="BG28" s="175"/>
      <c r="BH28" s="201">
        <v>20000000</v>
      </c>
      <c r="BI28" s="175"/>
      <c r="BJ28" s="201">
        <v>20000000</v>
      </c>
      <c r="BK28" s="175"/>
      <c r="BL28" s="201">
        <v>25000000</v>
      </c>
      <c r="BM28" s="175"/>
      <c r="BN28" s="201">
        <v>20000000</v>
      </c>
      <c r="BO28" s="175"/>
      <c r="BP28" s="201">
        <v>15000000</v>
      </c>
      <c r="BQ28" s="175"/>
      <c r="BR28" s="201">
        <v>35000000</v>
      </c>
      <c r="BS28" s="175"/>
      <c r="BT28" s="201">
        <v>30000000</v>
      </c>
      <c r="BU28" s="175"/>
      <c r="BV28" s="201">
        <v>10000000</v>
      </c>
      <c r="BW28" s="175"/>
      <c r="BX28" s="201">
        <v>20000000</v>
      </c>
      <c r="BY28" s="175"/>
      <c r="BZ28" s="201">
        <v>15000000</v>
      </c>
      <c r="CA28" s="175"/>
      <c r="CB28" s="201">
        <v>10000000</v>
      </c>
      <c r="CC28" s="175"/>
      <c r="CD28" s="201">
        <v>5000000</v>
      </c>
      <c r="CE28" s="175"/>
      <c r="CF28" s="201">
        <v>10000000</v>
      </c>
      <c r="CG28" s="175"/>
      <c r="CH28" s="201">
        <v>10000000</v>
      </c>
      <c r="CI28" s="175"/>
      <c r="CJ28" s="201">
        <v>10000000</v>
      </c>
      <c r="CK28" s="175"/>
      <c r="CL28" s="201">
        <v>15000000</v>
      </c>
      <c r="CM28" s="175"/>
      <c r="CN28" s="201">
        <v>15000000</v>
      </c>
      <c r="CO28" s="175"/>
      <c r="CP28" s="201">
        <v>20000000</v>
      </c>
      <c r="CQ28" s="175"/>
      <c r="CR28" s="201">
        <v>10000000</v>
      </c>
      <c r="CS28" s="175"/>
      <c r="CT28" s="201">
        <v>5000000</v>
      </c>
      <c r="CU28" s="175"/>
      <c r="CV28" s="201">
        <v>15000000</v>
      </c>
      <c r="CW28" s="175"/>
      <c r="CX28" s="201">
        <v>5000000</v>
      </c>
      <c r="CY28" s="175"/>
      <c r="CZ28" s="201">
        <v>0</v>
      </c>
      <c r="DA28" s="175"/>
      <c r="DB28" s="201">
        <v>10000000</v>
      </c>
      <c r="DC28" s="175"/>
      <c r="DD28" s="201">
        <v>25000000</v>
      </c>
      <c r="DE28" s="175"/>
      <c r="DF28" s="201">
        <v>25000000</v>
      </c>
      <c r="DG28" s="175"/>
      <c r="DH28" s="201">
        <v>25000000</v>
      </c>
      <c r="DI28" s="175"/>
    </row>
    <row r="29" spans="1:113" ht="12.75">
      <c r="A29" s="39" t="s">
        <v>41</v>
      </c>
      <c r="B29" s="201">
        <v>10000000</v>
      </c>
      <c r="C29" s="175"/>
      <c r="D29" s="201">
        <v>30000000</v>
      </c>
      <c r="E29" s="175"/>
      <c r="F29" s="201">
        <v>10000000</v>
      </c>
      <c r="G29" s="175"/>
      <c r="H29" s="201">
        <v>5000000</v>
      </c>
      <c r="I29" s="175"/>
      <c r="J29" s="201">
        <v>15000000</v>
      </c>
      <c r="K29" s="175"/>
      <c r="L29" s="201">
        <v>15000000</v>
      </c>
      <c r="M29" s="175"/>
      <c r="N29" s="201">
        <v>15000000</v>
      </c>
      <c r="O29" s="175"/>
      <c r="P29" s="201">
        <v>30000000</v>
      </c>
      <c r="Q29" s="175"/>
      <c r="R29" s="201">
        <v>30000000</v>
      </c>
      <c r="S29" s="175"/>
      <c r="T29" s="201">
        <v>25000000</v>
      </c>
      <c r="U29" s="175"/>
      <c r="V29" s="201">
        <v>25000000</v>
      </c>
      <c r="W29" s="175"/>
      <c r="X29" s="201">
        <v>30000000</v>
      </c>
      <c r="Y29" s="175"/>
      <c r="Z29" s="201">
        <v>5000000</v>
      </c>
      <c r="AA29" s="175"/>
      <c r="AB29" s="201">
        <v>30000000</v>
      </c>
      <c r="AC29" s="175"/>
      <c r="AD29" s="201">
        <v>30000000</v>
      </c>
      <c r="AE29" s="175"/>
      <c r="AF29" s="201">
        <v>15000000</v>
      </c>
      <c r="AG29" s="175"/>
      <c r="AH29" s="201">
        <v>25000000</v>
      </c>
      <c r="AI29" s="175"/>
      <c r="AJ29" s="201">
        <v>40000000</v>
      </c>
      <c r="AK29" s="175"/>
      <c r="AL29" s="201">
        <v>35000000</v>
      </c>
      <c r="AM29" s="175"/>
      <c r="AN29" s="201">
        <v>40000000</v>
      </c>
      <c r="AO29" s="175"/>
      <c r="AP29" s="201">
        <v>30000000</v>
      </c>
      <c r="AQ29" s="175"/>
      <c r="AR29" s="201">
        <v>30000000</v>
      </c>
      <c r="AS29" s="175"/>
      <c r="AT29" s="201">
        <v>20000000</v>
      </c>
      <c r="AU29" s="175"/>
      <c r="AV29" s="201">
        <v>15000000</v>
      </c>
      <c r="AW29" s="175"/>
      <c r="AX29" s="201">
        <v>5000000</v>
      </c>
      <c r="AY29" s="175"/>
      <c r="AZ29" s="201">
        <v>25000000</v>
      </c>
      <c r="BA29" s="175"/>
      <c r="BB29" s="201">
        <v>25000000</v>
      </c>
      <c r="BC29" s="175"/>
      <c r="BD29" s="201">
        <v>25000000</v>
      </c>
      <c r="BE29" s="175"/>
      <c r="BF29" s="201">
        <v>20000000</v>
      </c>
      <c r="BG29" s="175"/>
      <c r="BH29" s="201">
        <v>25000000</v>
      </c>
      <c r="BI29" s="175"/>
      <c r="BJ29" s="201">
        <v>25000000</v>
      </c>
      <c r="BK29" s="175"/>
      <c r="BL29" s="201">
        <v>30000000</v>
      </c>
      <c r="BM29" s="175"/>
      <c r="BN29" s="201">
        <v>20000000</v>
      </c>
      <c r="BO29" s="175"/>
      <c r="BP29" s="201">
        <v>15000000</v>
      </c>
      <c r="BQ29" s="175"/>
      <c r="BR29" s="201">
        <v>10000000</v>
      </c>
      <c r="BS29" s="175"/>
      <c r="BT29" s="201">
        <v>5000000</v>
      </c>
      <c r="BU29" s="175"/>
      <c r="BV29" s="201">
        <v>5000000</v>
      </c>
      <c r="BW29" s="175"/>
      <c r="BX29" s="201">
        <v>15000000</v>
      </c>
      <c r="BY29" s="175"/>
      <c r="BZ29" s="201">
        <v>10000000</v>
      </c>
      <c r="CA29" s="175"/>
      <c r="CB29" s="201">
        <v>5000000</v>
      </c>
      <c r="CC29" s="175"/>
      <c r="CD29" s="201">
        <v>5000000</v>
      </c>
      <c r="CE29" s="175"/>
      <c r="CF29" s="201">
        <v>0</v>
      </c>
      <c r="CG29" s="175"/>
      <c r="CH29" s="201">
        <v>0</v>
      </c>
      <c r="CI29" s="175"/>
      <c r="CJ29" s="201">
        <v>0</v>
      </c>
      <c r="CK29" s="175"/>
      <c r="CL29" s="201">
        <v>0</v>
      </c>
      <c r="CM29" s="175"/>
      <c r="CN29" s="201">
        <v>0</v>
      </c>
      <c r="CO29" s="175"/>
      <c r="CP29" s="201">
        <v>0</v>
      </c>
      <c r="CQ29" s="175"/>
      <c r="CR29" s="201">
        <v>0</v>
      </c>
      <c r="CS29" s="175"/>
      <c r="CT29" s="201">
        <v>0</v>
      </c>
      <c r="CU29" s="175"/>
      <c r="CV29" s="201">
        <v>0</v>
      </c>
      <c r="CW29" s="175"/>
      <c r="CX29" s="201">
        <v>0</v>
      </c>
      <c r="CY29" s="175"/>
      <c r="CZ29" s="201">
        <v>0</v>
      </c>
      <c r="DA29" s="175"/>
      <c r="DB29" s="201">
        <v>0</v>
      </c>
      <c r="DC29" s="175"/>
      <c r="DD29" s="201">
        <v>0</v>
      </c>
      <c r="DE29" s="175"/>
      <c r="DF29" s="201">
        <v>0</v>
      </c>
      <c r="DG29" s="175"/>
      <c r="DH29" s="201">
        <v>5000000</v>
      </c>
      <c r="DI29" s="175"/>
    </row>
    <row r="30" spans="1:113" ht="12.75">
      <c r="A30" s="39" t="s">
        <v>42</v>
      </c>
      <c r="B30" s="202">
        <f>SUM(B25:B29)</f>
        <v>30000000</v>
      </c>
      <c r="C30" s="175"/>
      <c r="D30" s="202">
        <f>SUM(D25:D29)</f>
        <v>100000000</v>
      </c>
      <c r="E30" s="175"/>
      <c r="F30" s="202">
        <f>SUM(F25:F29)</f>
        <v>65000000</v>
      </c>
      <c r="G30" s="175"/>
      <c r="H30" s="202">
        <f>SUM(H25:H29)</f>
        <v>10000000</v>
      </c>
      <c r="I30" s="175"/>
      <c r="J30" s="202">
        <f>SUM(J25:J29)</f>
        <v>55000000</v>
      </c>
      <c r="K30" s="175"/>
      <c r="L30" s="202">
        <f>SUM(L25:L29)</f>
        <v>55000000</v>
      </c>
      <c r="M30" s="175"/>
      <c r="N30" s="202">
        <f>SUM(N25:N29)</f>
        <v>55000000</v>
      </c>
      <c r="O30" s="175"/>
      <c r="P30" s="202">
        <f>SUM(P25:P29)</f>
        <v>70000000</v>
      </c>
      <c r="Q30" s="175"/>
      <c r="R30" s="202">
        <f>SUM(R25:R29)</f>
        <v>60000000</v>
      </c>
      <c r="S30" s="175"/>
      <c r="T30" s="202">
        <f>SUM(T25:T29)</f>
        <v>80000000</v>
      </c>
      <c r="U30" s="175"/>
      <c r="V30" s="202">
        <f>SUM(V25:V29)</f>
        <v>70000000</v>
      </c>
      <c r="W30" s="175"/>
      <c r="X30" s="202">
        <f>SUM(X25:X29)</f>
        <v>120000000</v>
      </c>
      <c r="Y30" s="175"/>
      <c r="Z30" s="202">
        <f>SUM(Z25:Z29)</f>
        <v>90000000</v>
      </c>
      <c r="AA30" s="175"/>
      <c r="AB30" s="202">
        <f>SUM(AB25:AB29)</f>
        <v>110000000</v>
      </c>
      <c r="AC30" s="175"/>
      <c r="AD30" s="202">
        <f>SUM(AD25:AD29)</f>
        <v>120000000</v>
      </c>
      <c r="AE30" s="175"/>
      <c r="AF30" s="202">
        <f>SUM(AF25:AF29)</f>
        <v>70000000</v>
      </c>
      <c r="AG30" s="175"/>
      <c r="AH30" s="202">
        <f>SUM(AH25:AH29)</f>
        <v>100000000</v>
      </c>
      <c r="AI30" s="175"/>
      <c r="AJ30" s="202">
        <f>SUM(AJ25:AJ29)</f>
        <v>155000000</v>
      </c>
      <c r="AK30" s="175"/>
      <c r="AL30" s="202">
        <f>SUM(AL25:AL29)</f>
        <v>140000000</v>
      </c>
      <c r="AM30" s="175"/>
      <c r="AN30" s="202">
        <f>SUM(AN25:AN29)</f>
        <v>150000000</v>
      </c>
      <c r="AO30" s="175"/>
      <c r="AP30" s="202">
        <f>SUM(AP25:AP29)</f>
        <v>165000000</v>
      </c>
      <c r="AQ30" s="175"/>
      <c r="AR30" s="202">
        <f>SUM(AR25:AR29)</f>
        <v>155000000</v>
      </c>
      <c r="AS30" s="175"/>
      <c r="AT30" s="202">
        <f>SUM(AT25:AT29)</f>
        <v>155000000</v>
      </c>
      <c r="AU30" s="175"/>
      <c r="AV30" s="202">
        <f>SUM(AV25:AV29)</f>
        <v>150000000</v>
      </c>
      <c r="AW30" s="175"/>
      <c r="AX30" s="202">
        <f>SUM(AX25:AX29)</f>
        <v>90000000</v>
      </c>
      <c r="AY30" s="175"/>
      <c r="AZ30" s="202">
        <f>SUM(AZ25:AZ29)</f>
        <v>120000000</v>
      </c>
      <c r="BA30" s="175"/>
      <c r="BB30" s="202">
        <f>SUM(BB25:BB29)</f>
        <v>130000000</v>
      </c>
      <c r="BC30" s="175"/>
      <c r="BD30" s="202">
        <f>SUM(BD25:BD29)</f>
        <v>120000000</v>
      </c>
      <c r="BE30" s="175"/>
      <c r="BF30" s="202">
        <f>SUM(BF25:BF29)</f>
        <v>80000000</v>
      </c>
      <c r="BG30" s="175"/>
      <c r="BH30" s="202">
        <f>SUM(BH25:BH29)</f>
        <v>105000000</v>
      </c>
      <c r="BI30" s="175"/>
      <c r="BJ30" s="202">
        <f>SUM(BJ25:BJ29)</f>
        <v>105000000</v>
      </c>
      <c r="BK30" s="175"/>
      <c r="BL30" s="202">
        <f>SUM(BL25:BL29)</f>
        <v>135000000</v>
      </c>
      <c r="BM30" s="175"/>
      <c r="BN30" s="202">
        <f>SUM(BN25:BN29)</f>
        <v>115000000</v>
      </c>
      <c r="BO30" s="175"/>
      <c r="BP30" s="202">
        <f>SUM(BP25:BP29)</f>
        <v>80000000</v>
      </c>
      <c r="BQ30" s="175"/>
      <c r="BR30" s="202">
        <f>SUM(BR25:BR29)</f>
        <v>140000000</v>
      </c>
      <c r="BS30" s="175"/>
      <c r="BT30" s="202">
        <f>SUM(BT25:BT29)</f>
        <v>110000000</v>
      </c>
      <c r="BU30" s="175"/>
      <c r="BV30" s="202">
        <f>SUM(BV25:BV29)</f>
        <v>45000000</v>
      </c>
      <c r="BW30" s="175"/>
      <c r="BX30" s="202">
        <f>SUM(BX25:BX29)</f>
        <v>75000000</v>
      </c>
      <c r="BY30" s="175"/>
      <c r="BZ30" s="202">
        <f>SUM(BZ25:BZ29)</f>
        <v>55000000</v>
      </c>
      <c r="CA30" s="175"/>
      <c r="CB30" s="202">
        <f>SUM(CB25:CB29)</f>
        <v>45000000</v>
      </c>
      <c r="CC30" s="175"/>
      <c r="CD30" s="202">
        <f>SUM(CD25:CD29)</f>
        <v>25000000</v>
      </c>
      <c r="CE30" s="175"/>
      <c r="CF30" s="202">
        <f>SUM(CF25:CF29)</f>
        <v>25000000</v>
      </c>
      <c r="CG30" s="175"/>
      <c r="CH30" s="202">
        <f>SUM(CH25:CH29)</f>
        <v>25000000</v>
      </c>
      <c r="CI30" s="175"/>
      <c r="CJ30" s="202">
        <f>SUM(CJ25:CJ29)</f>
        <v>40000000</v>
      </c>
      <c r="CK30" s="175"/>
      <c r="CL30" s="202">
        <f>SUM(CL25:CL29)</f>
        <v>45000000</v>
      </c>
      <c r="CM30" s="175"/>
      <c r="CN30" s="202">
        <f>SUM(CN25:CN29)</f>
        <v>40000000</v>
      </c>
      <c r="CO30" s="175"/>
      <c r="CP30" s="202">
        <f>SUM(CP25:CP29)</f>
        <v>50000000</v>
      </c>
      <c r="CQ30" s="175"/>
      <c r="CR30" s="202">
        <f>SUM(CR25:CR29)</f>
        <v>35000000</v>
      </c>
      <c r="CS30" s="175"/>
      <c r="CT30" s="202">
        <f>SUM(CT25:CT29)</f>
        <v>15000000</v>
      </c>
      <c r="CU30" s="175"/>
      <c r="CV30" s="202">
        <f>SUM(CV25:CV29)</f>
        <v>50000000</v>
      </c>
      <c r="CW30" s="175"/>
      <c r="CX30" s="202">
        <f>SUM(CX25:CX29)</f>
        <v>35000000</v>
      </c>
      <c r="CY30" s="175"/>
      <c r="CZ30" s="202">
        <f>SUM(CZ25:CZ29)</f>
        <v>10000000</v>
      </c>
      <c r="DA30" s="175"/>
      <c r="DB30" s="202">
        <f>SUM(DB25:DB29)</f>
        <v>20000000</v>
      </c>
      <c r="DC30" s="175"/>
      <c r="DD30" s="202">
        <f>SUM(DD25:DD29)</f>
        <v>65000000</v>
      </c>
      <c r="DE30" s="175"/>
      <c r="DF30" s="202">
        <f>SUM(DF25:DF29)</f>
        <v>65000000</v>
      </c>
      <c r="DG30" s="175"/>
      <c r="DH30" s="202">
        <f>SUM(DH25:DH29)</f>
        <v>85000000</v>
      </c>
      <c r="DI30" s="175"/>
    </row>
    <row r="31" spans="2:113" ht="12.75">
      <c r="B31" s="203"/>
      <c r="C31" s="175"/>
      <c r="D31" s="203"/>
      <c r="E31" s="175"/>
      <c r="F31" s="203"/>
      <c r="G31" s="175"/>
      <c r="H31" s="203"/>
      <c r="I31" s="175"/>
      <c r="J31" s="203"/>
      <c r="K31" s="175"/>
      <c r="L31" s="203"/>
      <c r="M31" s="175"/>
      <c r="N31" s="203"/>
      <c r="O31" s="175"/>
      <c r="P31" s="203"/>
      <c r="Q31" s="175"/>
      <c r="R31" s="203"/>
      <c r="S31" s="175"/>
      <c r="T31" s="203"/>
      <c r="U31" s="175"/>
      <c r="V31" s="203"/>
      <c r="W31" s="175"/>
      <c r="X31" s="203"/>
      <c r="Y31" s="175"/>
      <c r="Z31" s="203"/>
      <c r="AA31" s="175"/>
      <c r="AB31" s="203"/>
      <c r="AC31" s="175"/>
      <c r="AD31" s="203"/>
      <c r="AE31" s="175"/>
      <c r="AF31" s="203"/>
      <c r="AG31" s="175"/>
      <c r="AH31" s="203"/>
      <c r="AI31" s="175"/>
      <c r="AJ31" s="203"/>
      <c r="AK31" s="175"/>
      <c r="AL31" s="203"/>
      <c r="AM31" s="175"/>
      <c r="AN31" s="203"/>
      <c r="AO31" s="175"/>
      <c r="AP31" s="203"/>
      <c r="AQ31" s="175"/>
      <c r="AR31" s="203"/>
      <c r="AS31" s="175"/>
      <c r="AT31" s="203"/>
      <c r="AU31" s="175"/>
      <c r="AV31" s="203"/>
      <c r="AW31" s="175"/>
      <c r="AX31" s="203"/>
      <c r="AY31" s="175"/>
      <c r="AZ31" s="203"/>
      <c r="BA31" s="175"/>
      <c r="BB31" s="203"/>
      <c r="BC31" s="175"/>
      <c r="BD31" s="203"/>
      <c r="BE31" s="175"/>
      <c r="BF31" s="203"/>
      <c r="BG31" s="175"/>
      <c r="BH31" s="203"/>
      <c r="BI31" s="175"/>
      <c r="BJ31" s="203"/>
      <c r="BK31" s="175"/>
      <c r="BL31" s="203"/>
      <c r="BM31" s="175"/>
      <c r="BN31" s="203"/>
      <c r="BO31" s="175"/>
      <c r="BP31" s="203"/>
      <c r="BQ31" s="175"/>
      <c r="BR31" s="203"/>
      <c r="BS31" s="175"/>
      <c r="BT31" s="203"/>
      <c r="BU31" s="175"/>
      <c r="BV31" s="203"/>
      <c r="BW31" s="175"/>
      <c r="BX31" s="203"/>
      <c r="BY31" s="175"/>
      <c r="BZ31" s="203"/>
      <c r="CA31" s="175"/>
      <c r="CB31" s="203"/>
      <c r="CC31" s="175"/>
      <c r="CD31" s="203"/>
      <c r="CE31" s="175"/>
      <c r="CF31" s="203"/>
      <c r="CG31" s="175"/>
      <c r="CH31" s="203"/>
      <c r="CI31" s="175"/>
      <c r="CJ31" s="203"/>
      <c r="CK31" s="175"/>
      <c r="CL31" s="203"/>
      <c r="CM31" s="175"/>
      <c r="CN31" s="203"/>
      <c r="CO31" s="175"/>
      <c r="CP31" s="203"/>
      <c r="CQ31" s="175"/>
      <c r="CR31" s="203"/>
      <c r="CS31" s="175"/>
      <c r="CT31" s="203"/>
      <c r="CU31" s="175"/>
      <c r="CV31" s="203"/>
      <c r="CW31" s="175"/>
      <c r="CX31" s="203"/>
      <c r="CY31" s="175"/>
      <c r="CZ31" s="203"/>
      <c r="DA31" s="175"/>
      <c r="DB31" s="203"/>
      <c r="DC31" s="175"/>
      <c r="DD31" s="203"/>
      <c r="DE31" s="175"/>
      <c r="DF31" s="203"/>
      <c r="DG31" s="175"/>
      <c r="DH31" s="203"/>
      <c r="DI31" s="175"/>
    </row>
    <row r="32" spans="1:113" ht="12.75">
      <c r="A32" s="39" t="s">
        <v>2</v>
      </c>
      <c r="B32" s="204">
        <v>98503891.95</v>
      </c>
      <c r="C32" s="175"/>
      <c r="D32" s="204">
        <v>65942865.6</v>
      </c>
      <c r="E32" s="175"/>
      <c r="F32" s="204">
        <v>89500858.6</v>
      </c>
      <c r="G32" s="175"/>
      <c r="H32" s="204">
        <v>102586683.42</v>
      </c>
      <c r="I32" s="175"/>
      <c r="J32" s="204">
        <v>67135401.01</v>
      </c>
      <c r="K32" s="175"/>
      <c r="L32" s="204">
        <v>93178454.98</v>
      </c>
      <c r="M32" s="175"/>
      <c r="N32" s="204">
        <v>82243432.87</v>
      </c>
      <c r="O32" s="175"/>
      <c r="P32" s="204">
        <v>81842077.86</v>
      </c>
      <c r="Q32" s="175"/>
      <c r="R32" s="204">
        <v>82239710.13</v>
      </c>
      <c r="S32" s="175"/>
      <c r="T32" s="204">
        <v>66907316.12</v>
      </c>
      <c r="U32" s="175"/>
      <c r="V32" s="204">
        <v>66330893.84</v>
      </c>
      <c r="W32" s="175"/>
      <c r="X32" s="204">
        <v>72514617.9</v>
      </c>
      <c r="Y32" s="175"/>
      <c r="Z32" s="204">
        <v>92546325</v>
      </c>
      <c r="AA32" s="175"/>
      <c r="AB32" s="204">
        <v>78672142.14</v>
      </c>
      <c r="AC32" s="175"/>
      <c r="AD32" s="204">
        <v>81251628.8</v>
      </c>
      <c r="AE32" s="175"/>
      <c r="AF32" s="204">
        <v>101071837.61</v>
      </c>
      <c r="AG32" s="175"/>
      <c r="AH32" s="204">
        <v>86852352.58</v>
      </c>
      <c r="AI32" s="175"/>
      <c r="AJ32" s="204">
        <v>34468160.52</v>
      </c>
      <c r="AK32" s="175"/>
      <c r="AL32" s="204">
        <v>73524384.59</v>
      </c>
      <c r="AM32" s="175"/>
      <c r="AN32" s="204">
        <v>72900107.22</v>
      </c>
      <c r="AO32" s="175"/>
      <c r="AP32" s="204">
        <v>51237702.43</v>
      </c>
      <c r="AQ32" s="175"/>
      <c r="AR32" s="204">
        <v>73560152.1</v>
      </c>
      <c r="AS32" s="175"/>
      <c r="AT32" s="204">
        <v>70576795.47</v>
      </c>
      <c r="AU32" s="175"/>
      <c r="AV32" s="204">
        <v>74837738.3</v>
      </c>
      <c r="AW32" s="175"/>
      <c r="AX32" s="204">
        <v>72748097.74</v>
      </c>
      <c r="AY32" s="175"/>
      <c r="AZ32" s="204">
        <v>87385415.39</v>
      </c>
      <c r="BA32" s="175"/>
      <c r="BB32" s="204">
        <v>80086008.31</v>
      </c>
      <c r="BC32" s="175"/>
      <c r="BD32" s="204">
        <v>52004933.51</v>
      </c>
      <c r="BE32" s="175"/>
      <c r="BF32" s="204">
        <v>93026885.98</v>
      </c>
      <c r="BG32" s="175"/>
      <c r="BH32" s="204">
        <v>49829632.34</v>
      </c>
      <c r="BI32" s="175"/>
      <c r="BJ32" s="204">
        <v>85040842.86</v>
      </c>
      <c r="BK32" s="175"/>
      <c r="BL32" s="204">
        <v>64260894.86</v>
      </c>
      <c r="BM32" s="175"/>
      <c r="BN32" s="204">
        <v>77183477.05</v>
      </c>
      <c r="BO32" s="175"/>
      <c r="BP32" s="204">
        <f>71086587.71+70000000</f>
        <v>141086587.70999998</v>
      </c>
      <c r="BQ32" s="175"/>
      <c r="BR32" s="204">
        <v>76619612.13</v>
      </c>
      <c r="BS32" s="175"/>
      <c r="BT32" s="204">
        <f>16785463.91+70000000</f>
        <v>86785463.91</v>
      </c>
      <c r="BU32" s="175"/>
      <c r="BV32" s="204">
        <v>84930108.28</v>
      </c>
      <c r="BW32" s="175"/>
      <c r="BX32" s="204">
        <v>89012240.19</v>
      </c>
      <c r="BY32" s="175"/>
      <c r="BZ32" s="204">
        <v>106429038.42</v>
      </c>
      <c r="CA32" s="175"/>
      <c r="CB32" s="204">
        <v>81801185.37000036</v>
      </c>
      <c r="CC32" s="175"/>
      <c r="CD32" s="204">
        <v>108541759.91</v>
      </c>
      <c r="CE32" s="175"/>
      <c r="CF32" s="204">
        <v>88001410.32000002</v>
      </c>
      <c r="CG32" s="175"/>
      <c r="CH32" s="204">
        <v>106829284.6</v>
      </c>
      <c r="CI32" s="175"/>
      <c r="CJ32" s="204">
        <v>104291563.17</v>
      </c>
      <c r="CK32" s="175"/>
      <c r="CL32" s="204">
        <v>102133408.14</v>
      </c>
      <c r="CM32" s="175"/>
      <c r="CN32" s="204">
        <v>89839954.8</v>
      </c>
      <c r="CO32" s="175"/>
      <c r="CP32" s="204">
        <v>96348998.05</v>
      </c>
      <c r="CQ32" s="175"/>
      <c r="CR32" s="204">
        <v>106013816.57</v>
      </c>
      <c r="CS32" s="175"/>
      <c r="CT32" s="204">
        <v>83483374.76</v>
      </c>
      <c r="CU32" s="175"/>
      <c r="CV32" s="204">
        <v>102923228.74</v>
      </c>
      <c r="CW32" s="175"/>
      <c r="CX32" s="204">
        <v>109950015.83</v>
      </c>
      <c r="CY32" s="175"/>
      <c r="CZ32" s="204">
        <v>112025456.9</v>
      </c>
      <c r="DA32" s="175"/>
      <c r="DB32" s="204">
        <v>115770918.121</v>
      </c>
      <c r="DC32" s="175"/>
      <c r="DD32" s="204">
        <v>76730912.19</v>
      </c>
      <c r="DE32" s="175"/>
      <c r="DF32" s="204">
        <v>103880022.39</v>
      </c>
      <c r="DG32" s="175"/>
      <c r="DH32" s="204">
        <v>85878240.22</v>
      </c>
      <c r="DI32" s="175"/>
    </row>
    <row r="33" spans="1:113" ht="12.75">
      <c r="A33" s="39" t="s">
        <v>612</v>
      </c>
      <c r="B33" s="204">
        <v>30325</v>
      </c>
      <c r="C33" s="175"/>
      <c r="D33" s="204">
        <v>30325</v>
      </c>
      <c r="E33" s="175"/>
      <c r="F33" s="204">
        <v>30325</v>
      </c>
      <c r="G33" s="175"/>
      <c r="H33" s="204">
        <v>30325</v>
      </c>
      <c r="I33" s="175"/>
      <c r="J33" s="204">
        <v>30325</v>
      </c>
      <c r="K33" s="175"/>
      <c r="L33" s="204">
        <v>30485</v>
      </c>
      <c r="M33" s="175"/>
      <c r="N33" s="204">
        <v>30485</v>
      </c>
      <c r="O33" s="175"/>
      <c r="P33" s="204">
        <v>32485</v>
      </c>
      <c r="Q33" s="175"/>
      <c r="R33" s="204">
        <v>32485</v>
      </c>
      <c r="S33" s="175"/>
      <c r="T33" s="204">
        <v>32485</v>
      </c>
      <c r="U33" s="175"/>
      <c r="V33" s="204">
        <v>32325</v>
      </c>
      <c r="W33" s="175"/>
      <c r="X33" s="204">
        <v>32325</v>
      </c>
      <c r="Y33" s="175"/>
      <c r="Z33" s="204">
        <v>31825</v>
      </c>
      <c r="AA33" s="175"/>
      <c r="AB33" s="204">
        <v>31825</v>
      </c>
      <c r="AC33" s="175"/>
      <c r="AD33" s="204">
        <v>31825</v>
      </c>
      <c r="AE33" s="175"/>
      <c r="AF33" s="204">
        <v>31825</v>
      </c>
      <c r="AG33" s="175"/>
      <c r="AH33" s="204">
        <v>31825</v>
      </c>
      <c r="AI33" s="175"/>
      <c r="AJ33" s="204">
        <v>31925</v>
      </c>
      <c r="AK33" s="175"/>
      <c r="AL33" s="204">
        <v>31985</v>
      </c>
      <c r="AM33" s="175"/>
      <c r="AN33" s="204">
        <v>31985</v>
      </c>
      <c r="AO33" s="175"/>
      <c r="AP33" s="204">
        <v>31985</v>
      </c>
      <c r="AQ33" s="175"/>
      <c r="AR33" s="204">
        <v>31985</v>
      </c>
      <c r="AS33" s="175"/>
      <c r="AT33" s="204">
        <v>31825</v>
      </c>
      <c r="AU33" s="175"/>
      <c r="AV33" s="204">
        <v>31825</v>
      </c>
      <c r="AW33" s="175"/>
      <c r="AX33" s="204">
        <v>31825</v>
      </c>
      <c r="AY33" s="175"/>
      <c r="AZ33" s="204">
        <v>31825</v>
      </c>
      <c r="BA33" s="175"/>
      <c r="BB33" s="204">
        <v>31825</v>
      </c>
      <c r="BC33" s="175"/>
      <c r="BD33" s="204">
        <v>31825</v>
      </c>
      <c r="BE33" s="175"/>
      <c r="BF33" s="204">
        <v>31825</v>
      </c>
      <c r="BG33" s="175"/>
      <c r="BH33" s="204">
        <v>31825</v>
      </c>
      <c r="BI33" s="175"/>
      <c r="BJ33" s="204">
        <v>31825</v>
      </c>
      <c r="BK33" s="175"/>
      <c r="BL33" s="204">
        <v>31825</v>
      </c>
      <c r="BM33" s="175"/>
      <c r="BN33" s="204">
        <v>31825</v>
      </c>
      <c r="BO33" s="175"/>
      <c r="BP33" s="204">
        <v>31825</v>
      </c>
      <c r="BQ33" s="175"/>
      <c r="BR33" s="204">
        <v>31825</v>
      </c>
      <c r="BS33" s="175"/>
      <c r="BT33" s="204">
        <v>31825</v>
      </c>
      <c r="BU33" s="175"/>
      <c r="BV33" s="204">
        <v>31825</v>
      </c>
      <c r="BW33" s="175"/>
      <c r="BX33" s="204">
        <v>31825</v>
      </c>
      <c r="BY33" s="175"/>
      <c r="BZ33" s="204">
        <v>13811</v>
      </c>
      <c r="CA33" s="175"/>
      <c r="CB33" s="204">
        <v>13811</v>
      </c>
      <c r="CC33" s="175"/>
      <c r="CD33" s="204">
        <v>13811</v>
      </c>
      <c r="CE33" s="175"/>
      <c r="CF33" s="204">
        <v>13811</v>
      </c>
      <c r="CG33" s="175"/>
      <c r="CH33" s="204">
        <v>13811</v>
      </c>
      <c r="CI33" s="175"/>
      <c r="CJ33" s="204">
        <v>13811</v>
      </c>
      <c r="CK33" s="175"/>
      <c r="CL33" s="204">
        <v>13811</v>
      </c>
      <c r="CM33" s="175"/>
      <c r="CN33" s="204">
        <v>13811</v>
      </c>
      <c r="CO33" s="175"/>
      <c r="CP33" s="204">
        <v>13811</v>
      </c>
      <c r="CQ33" s="175"/>
      <c r="CR33" s="204">
        <v>13811</v>
      </c>
      <c r="CS33" s="175"/>
      <c r="CT33" s="204">
        <v>13811</v>
      </c>
      <c r="CU33" s="175"/>
      <c r="CV33" s="204">
        <v>13811</v>
      </c>
      <c r="CW33" s="175"/>
      <c r="CX33" s="204">
        <v>13811</v>
      </c>
      <c r="CY33" s="175"/>
      <c r="CZ33" s="204">
        <v>13175</v>
      </c>
      <c r="DA33" s="175"/>
      <c r="DB33" s="204">
        <v>13175</v>
      </c>
      <c r="DC33" s="175"/>
      <c r="DD33" s="204">
        <v>13175</v>
      </c>
      <c r="DE33" s="175"/>
      <c r="DF33" s="204">
        <v>13175</v>
      </c>
      <c r="DG33" s="175"/>
      <c r="DH33" s="204">
        <v>13175</v>
      </c>
      <c r="DI33" s="175"/>
    </row>
    <row r="34" spans="2:113" ht="13.5" thickBot="1">
      <c r="B34" s="205">
        <f>SUM(B30:B33)</f>
        <v>128534216.95</v>
      </c>
      <c r="C34" s="175"/>
      <c r="D34" s="205">
        <f>SUM(D30:D33)</f>
        <v>165973190.6</v>
      </c>
      <c r="E34" s="175"/>
      <c r="F34" s="205">
        <f>SUM(F30:F33)</f>
        <v>154531183.6</v>
      </c>
      <c r="G34" s="175"/>
      <c r="H34" s="205">
        <f>SUM(H30:H33)</f>
        <v>112617008.42</v>
      </c>
      <c r="I34" s="175"/>
      <c r="J34" s="205">
        <f>SUM(J30:J33)</f>
        <v>122165726.01</v>
      </c>
      <c r="K34" s="175"/>
      <c r="L34" s="205">
        <f>SUM(L30:L33)</f>
        <v>148208939.98000002</v>
      </c>
      <c r="M34" s="175"/>
      <c r="N34" s="205">
        <f>SUM(N30:N33)</f>
        <v>137273917.87</v>
      </c>
      <c r="O34" s="175"/>
      <c r="P34" s="205">
        <f>SUM(P30:P33)</f>
        <v>151874562.86</v>
      </c>
      <c r="Q34" s="175"/>
      <c r="R34" s="205">
        <f>SUM(R30:R33)</f>
        <v>142272195.13</v>
      </c>
      <c r="S34" s="175"/>
      <c r="T34" s="205">
        <f>SUM(T30:T33)</f>
        <v>146939801.12</v>
      </c>
      <c r="U34" s="175"/>
      <c r="V34" s="205">
        <f>SUM(V30:V33)</f>
        <v>136363218.84</v>
      </c>
      <c r="W34" s="175"/>
      <c r="X34" s="205">
        <f>SUM(X30:X33)</f>
        <v>192546942.9</v>
      </c>
      <c r="Y34" s="175"/>
      <c r="Z34" s="205">
        <f>SUM(Z30:Z33)</f>
        <v>182578150</v>
      </c>
      <c r="AA34" s="175"/>
      <c r="AB34" s="205">
        <f>SUM(AB30:AB33)</f>
        <v>188703967.14</v>
      </c>
      <c r="AC34" s="175"/>
      <c r="AD34" s="205">
        <f>SUM(AD30:AD33)</f>
        <v>201283453.8</v>
      </c>
      <c r="AE34" s="175"/>
      <c r="AF34" s="205">
        <f>SUM(AF30:AF33)</f>
        <v>171103662.61</v>
      </c>
      <c r="AG34" s="175"/>
      <c r="AH34" s="205">
        <f>SUM(AH30:AH33)</f>
        <v>186884177.57999998</v>
      </c>
      <c r="AI34" s="175"/>
      <c r="AJ34" s="205">
        <f>SUM(AJ30:AJ33)</f>
        <v>189500085.52</v>
      </c>
      <c r="AK34" s="175"/>
      <c r="AL34" s="205">
        <f>SUM(AL30:AL33)</f>
        <v>213556369.59</v>
      </c>
      <c r="AM34" s="175"/>
      <c r="AN34" s="205">
        <f>SUM(AN30:AN33)</f>
        <v>222932092.22</v>
      </c>
      <c r="AO34" s="175"/>
      <c r="AP34" s="205">
        <f>SUM(AP30:AP33)</f>
        <v>216269687.43</v>
      </c>
      <c r="AQ34" s="175"/>
      <c r="AR34" s="205">
        <f>SUM(AR30:AR33)</f>
        <v>228592137.1</v>
      </c>
      <c r="AS34" s="175"/>
      <c r="AT34" s="205">
        <f>SUM(AT30:AT33)</f>
        <v>225608620.47</v>
      </c>
      <c r="AU34" s="175"/>
      <c r="AV34" s="205">
        <f>SUM(AV30:AV33)</f>
        <v>224869563.3</v>
      </c>
      <c r="AW34" s="175"/>
      <c r="AX34" s="205">
        <f>SUM(AX30:AX33)</f>
        <v>162779922.74</v>
      </c>
      <c r="AY34" s="175"/>
      <c r="AZ34" s="205">
        <f>SUM(AZ30:AZ33)</f>
        <v>207417240.39</v>
      </c>
      <c r="BA34" s="175"/>
      <c r="BB34" s="205">
        <f>SUM(BB30:BB33)</f>
        <v>210117833.31</v>
      </c>
      <c r="BC34" s="175"/>
      <c r="BD34" s="205">
        <f>SUM(BD30:BD33)</f>
        <v>172036758.51</v>
      </c>
      <c r="BE34" s="175"/>
      <c r="BF34" s="205">
        <f>SUM(BF30:BF33)</f>
        <v>173058710.98000002</v>
      </c>
      <c r="BG34" s="175"/>
      <c r="BH34" s="205">
        <f>SUM(BH30:BH33)</f>
        <v>154861457.34</v>
      </c>
      <c r="BI34" s="175"/>
      <c r="BJ34" s="205">
        <f>SUM(BJ30:BJ33)</f>
        <v>190072667.86</v>
      </c>
      <c r="BK34" s="175"/>
      <c r="BL34" s="205">
        <f>SUM(BL30:BL33)</f>
        <v>199292719.86</v>
      </c>
      <c r="BM34" s="175"/>
      <c r="BN34" s="205">
        <f>SUM(BN30:BN33)</f>
        <v>192215302.05</v>
      </c>
      <c r="BO34" s="175"/>
      <c r="BP34" s="205">
        <f>SUM(BP30:BP33)</f>
        <v>221118412.70999998</v>
      </c>
      <c r="BQ34" s="175"/>
      <c r="BR34" s="205">
        <f>SUM(BR30:BR33)</f>
        <v>216651437.13</v>
      </c>
      <c r="BS34" s="175"/>
      <c r="BT34" s="205">
        <f>SUM(BT30:BT33)</f>
        <v>196817288.91</v>
      </c>
      <c r="BU34" s="175"/>
      <c r="BV34" s="205">
        <f>SUM(BV30:BV33)</f>
        <v>129961933.28</v>
      </c>
      <c r="BW34" s="175"/>
      <c r="BX34" s="205">
        <f>SUM(BX30:BX33)</f>
        <v>164044065.19</v>
      </c>
      <c r="BY34" s="175"/>
      <c r="BZ34" s="205">
        <f>SUM(BZ30:BZ33)</f>
        <v>161442849.42000002</v>
      </c>
      <c r="CA34" s="175"/>
      <c r="CB34" s="205">
        <f>SUM(CB30:CB33)</f>
        <v>126814996.37000036</v>
      </c>
      <c r="CC34" s="175"/>
      <c r="CD34" s="205">
        <f>SUM(CD30:CD33)</f>
        <v>133555570.91</v>
      </c>
      <c r="CE34" s="175"/>
      <c r="CF34" s="205">
        <f>SUM(CF30:CF33)</f>
        <v>113015221.32000002</v>
      </c>
      <c r="CG34" s="175"/>
      <c r="CH34" s="205">
        <f>SUM(CH30:CH33)</f>
        <v>131843095.6</v>
      </c>
      <c r="CI34" s="175"/>
      <c r="CJ34" s="205">
        <f>SUM(CJ30:CJ33)</f>
        <v>144305374.17000002</v>
      </c>
      <c r="CK34" s="175"/>
      <c r="CL34" s="205">
        <f>SUM(CL30:CL33)</f>
        <v>147147219.14</v>
      </c>
      <c r="CM34" s="175"/>
      <c r="CN34" s="205">
        <f>SUM(CN30:CN33)</f>
        <v>129853765.8</v>
      </c>
      <c r="CO34" s="175"/>
      <c r="CP34" s="205">
        <f>SUM(CP30:CP33)</f>
        <v>146362809.05</v>
      </c>
      <c r="CQ34" s="175"/>
      <c r="CR34" s="205">
        <f>SUM(CR30:CR33)</f>
        <v>141027627.57</v>
      </c>
      <c r="CS34" s="175"/>
      <c r="CT34" s="205">
        <f>SUM(CT30:CT33)</f>
        <v>98497185.76</v>
      </c>
      <c r="CU34" s="175"/>
      <c r="CV34" s="205">
        <f>SUM(CV30:CV33)</f>
        <v>152937039.74</v>
      </c>
      <c r="CW34" s="175"/>
      <c r="CX34" s="205">
        <f>SUM(CX30:CX33)</f>
        <v>144963826.82999998</v>
      </c>
      <c r="CY34" s="175"/>
      <c r="CZ34" s="205">
        <f>SUM(CZ30:CZ33)</f>
        <v>122038631.9</v>
      </c>
      <c r="DA34" s="175"/>
      <c r="DB34" s="205">
        <f>SUM(DB30:DB33)</f>
        <v>135784093.121</v>
      </c>
      <c r="DC34" s="175"/>
      <c r="DD34" s="205">
        <f>SUM(DD30:DD33)</f>
        <v>141744087.19</v>
      </c>
      <c r="DE34" s="175"/>
      <c r="DF34" s="205">
        <f>SUM(DF30:DF33)</f>
        <v>168893197.39</v>
      </c>
      <c r="DG34" s="175"/>
      <c r="DH34" s="205">
        <f>SUM(DH30:DH33)</f>
        <v>170891415.22</v>
      </c>
      <c r="DI34" s="175"/>
    </row>
    <row r="35" spans="2:113" ht="12.75">
      <c r="B35" s="173"/>
      <c r="C35" s="175"/>
      <c r="D35" s="173"/>
      <c r="E35" s="175"/>
      <c r="F35" s="173"/>
      <c r="G35" s="175"/>
      <c r="H35" s="173"/>
      <c r="I35" s="175"/>
      <c r="J35" s="173"/>
      <c r="K35" s="175"/>
      <c r="L35" s="173"/>
      <c r="M35" s="175"/>
      <c r="N35" s="173"/>
      <c r="O35" s="175"/>
      <c r="P35" s="173"/>
      <c r="Q35" s="175"/>
      <c r="R35" s="173"/>
      <c r="S35" s="175"/>
      <c r="T35" s="173"/>
      <c r="U35" s="175"/>
      <c r="V35" s="173"/>
      <c r="W35" s="175"/>
      <c r="X35" s="173"/>
      <c r="Y35" s="175"/>
      <c r="Z35" s="173"/>
      <c r="AA35" s="175"/>
      <c r="AB35" s="173"/>
      <c r="AC35" s="175"/>
      <c r="AD35" s="173"/>
      <c r="AE35" s="175"/>
      <c r="AF35" s="173"/>
      <c r="AG35" s="175"/>
      <c r="AH35" s="173"/>
      <c r="AI35" s="175"/>
      <c r="AJ35" s="173"/>
      <c r="AK35" s="175"/>
      <c r="AL35" s="173"/>
      <c r="AM35" s="175"/>
      <c r="AN35" s="173"/>
      <c r="AO35" s="175"/>
      <c r="AP35" s="173"/>
      <c r="AQ35" s="175"/>
      <c r="AR35" s="173"/>
      <c r="AS35" s="175"/>
      <c r="AT35" s="173"/>
      <c r="AU35" s="175"/>
      <c r="AV35" s="173"/>
      <c r="AW35" s="175"/>
      <c r="AX35" s="173"/>
      <c r="AY35" s="175"/>
      <c r="AZ35" s="173"/>
      <c r="BA35" s="175"/>
      <c r="BB35" s="173"/>
      <c r="BC35" s="175"/>
      <c r="BD35" s="173"/>
      <c r="BE35" s="175"/>
      <c r="BF35" s="173"/>
      <c r="BG35" s="175"/>
      <c r="BH35" s="173"/>
      <c r="BI35" s="175"/>
      <c r="BJ35" s="173"/>
      <c r="BK35" s="175"/>
      <c r="BL35" s="173"/>
      <c r="BM35" s="175"/>
      <c r="BN35" s="173"/>
      <c r="BO35" s="175"/>
      <c r="BP35" s="173"/>
      <c r="BQ35" s="175"/>
      <c r="BR35" s="173"/>
      <c r="BS35" s="175"/>
      <c r="BT35" s="173"/>
      <c r="BU35" s="175"/>
      <c r="BV35" s="173"/>
      <c r="BW35" s="175"/>
      <c r="BX35" s="173"/>
      <c r="BY35" s="175"/>
      <c r="BZ35" s="173"/>
      <c r="CA35" s="175"/>
      <c r="CB35" s="173"/>
      <c r="CC35" s="175"/>
      <c r="CD35" s="173"/>
      <c r="CE35" s="175"/>
      <c r="CF35" s="173"/>
      <c r="CG35" s="175"/>
      <c r="CH35" s="173"/>
      <c r="CI35" s="175"/>
      <c r="CJ35" s="173"/>
      <c r="CK35" s="175"/>
      <c r="CL35" s="173"/>
      <c r="CM35" s="175"/>
      <c r="CN35" s="173"/>
      <c r="CO35" s="175"/>
      <c r="CP35" s="173"/>
      <c r="CQ35" s="175"/>
      <c r="CR35" s="173"/>
      <c r="CS35" s="175"/>
      <c r="CT35" s="173"/>
      <c r="CU35" s="175"/>
      <c r="CV35" s="173"/>
      <c r="CW35" s="175"/>
      <c r="CX35" s="173"/>
      <c r="CY35" s="175"/>
      <c r="CZ35" s="173"/>
      <c r="DA35" s="175"/>
      <c r="DB35" s="173"/>
      <c r="DC35" s="175"/>
      <c r="DD35" s="173"/>
      <c r="DE35" s="175"/>
      <c r="DF35" s="173"/>
      <c r="DG35" s="175"/>
      <c r="DH35" s="173"/>
      <c r="DI35" s="175"/>
    </row>
    <row r="36" spans="2:112" ht="12.75">
      <c r="B36" s="170">
        <f>B34-B19</f>
        <v>16354313.948408753</v>
      </c>
      <c r="D36" s="170">
        <f>D34-D19</f>
        <v>22908283.748408765</v>
      </c>
      <c r="F36" s="170">
        <f>F34-F19</f>
        <v>14477013.728408754</v>
      </c>
      <c r="H36" s="170">
        <f>H34-H19</f>
        <v>-14968622.331591263</v>
      </c>
      <c r="J36" s="170">
        <f>J34-J19</f>
        <v>-207846.99159124494</v>
      </c>
      <c r="L36" s="170">
        <f>L34-L19</f>
        <v>35566363.29840876</v>
      </c>
      <c r="N36" s="170">
        <f>N34-N19</f>
        <v>18158489.688408762</v>
      </c>
      <c r="P36" s="170">
        <f>P34-P19</f>
        <v>14242925.768408746</v>
      </c>
      <c r="R36" s="170">
        <f>R34-R19</f>
        <v>2282069.9884087443</v>
      </c>
      <c r="T36" s="170">
        <f>T34-T19</f>
        <v>3928896.3484087586</v>
      </c>
      <c r="V36" s="170">
        <f>V34-V19</f>
        <v>513435.7184087932</v>
      </c>
      <c r="X36" s="170">
        <f>X34-X19</f>
        <v>68498767.06840877</v>
      </c>
      <c r="Z36" s="170">
        <f>Z34-Z19</f>
        <v>38103590.57840875</v>
      </c>
      <c r="AB36" s="170">
        <f>AB34-AB19</f>
        <v>64352661.19840875</v>
      </c>
      <c r="AD36" s="170">
        <f>AD34-AD19</f>
        <v>69564164.44840878</v>
      </c>
      <c r="AF36" s="170">
        <f>AF34-AF19</f>
        <v>31644784.10840878</v>
      </c>
      <c r="AH36" s="170">
        <f>AH34-AH19</f>
        <v>62808335.56840876</v>
      </c>
      <c r="AJ36" s="170">
        <f>AJ34-AJ19</f>
        <v>64453733.128408775</v>
      </c>
      <c r="AL36" s="170">
        <f>AL34-AL19</f>
        <v>56988103.60840878</v>
      </c>
      <c r="AN36" s="170">
        <f>AN34-AN19</f>
        <v>79480540.2084088</v>
      </c>
      <c r="AP36" s="170">
        <f>AP34-AP19</f>
        <v>72842804.00226039</v>
      </c>
      <c r="AR36" s="170">
        <f>AR34-AR19</f>
        <v>68246806.12</v>
      </c>
      <c r="AT36" s="170">
        <f>AT34-AT19</f>
        <v>69195344.47666669</v>
      </c>
      <c r="AV36" s="170">
        <f>AV34-AV19</f>
        <v>66636986.452260375</v>
      </c>
      <c r="AX36" s="170">
        <f>AX34-AX19</f>
        <v>30888785.692260355</v>
      </c>
      <c r="AZ36" s="170">
        <f>AZ34-AZ19</f>
        <v>48863144.962260336</v>
      </c>
      <c r="BB36" s="170">
        <f>BB34-BB19</f>
        <v>59139586.36392701</v>
      </c>
      <c r="BD36" s="170">
        <f>BD34-BD19</f>
        <v>55036380.77392699</v>
      </c>
      <c r="BF36" s="170">
        <f>BF34-BF19</f>
        <v>31450804.393927038</v>
      </c>
      <c r="BH36" s="170">
        <f>BH34-BH19</f>
        <v>8744885.063927025</v>
      </c>
      <c r="BJ36" s="170">
        <f>BJ34-BJ19</f>
        <v>21491784.743927002</v>
      </c>
      <c r="BL36" s="170">
        <f>BL34-BL19</f>
        <v>38248795.97392702</v>
      </c>
      <c r="BN36" s="170">
        <f>BN34-BN19</f>
        <v>34905948.813926995</v>
      </c>
      <c r="BP36" s="170">
        <f>BP34-BP19</f>
        <v>33328743.70392698</v>
      </c>
      <c r="BR36" s="170">
        <f>BR34-BR19</f>
        <v>24695624.94392699</v>
      </c>
      <c r="BT36" s="170">
        <f>BT34-BT19</f>
        <v>43223249.19</v>
      </c>
      <c r="BV36" s="170">
        <f>BV34-BV19</f>
        <v>15869164.883926973</v>
      </c>
      <c r="BX36" s="170">
        <f>BX34-BX19</f>
        <v>833582.7139270008</v>
      </c>
      <c r="BZ36" s="170">
        <f>BZ34-BZ19</f>
        <v>625113.4222603738</v>
      </c>
      <c r="CB36" s="170">
        <f>CB34-CB19</f>
        <v>1879515.5622606874</v>
      </c>
      <c r="CD36" s="170">
        <f>CD34-CD19</f>
        <v>11556603.292260349</v>
      </c>
      <c r="CF36" s="170">
        <f>CF34-CF19</f>
        <v>410049.4622603506</v>
      </c>
      <c r="CH36" s="170">
        <f>CH34-CH19</f>
        <v>718035.4822603166</v>
      </c>
      <c r="CJ36" s="170">
        <f>CJ34-CJ19</f>
        <v>5248021.392260313</v>
      </c>
      <c r="CL36" s="170">
        <v>0</v>
      </c>
      <c r="CN36" s="170">
        <v>0</v>
      </c>
      <c r="CP36" s="170">
        <v>0</v>
      </c>
      <c r="CR36" s="170">
        <v>0</v>
      </c>
      <c r="CT36" s="170">
        <v>0</v>
      </c>
      <c r="CV36" s="170">
        <v>0</v>
      </c>
      <c r="CX36" s="170">
        <v>0</v>
      </c>
      <c r="CZ36" s="170">
        <v>0</v>
      </c>
      <c r="DB36" s="170">
        <v>0</v>
      </c>
      <c r="DD36" s="170">
        <v>0</v>
      </c>
      <c r="DF36" s="170">
        <v>0</v>
      </c>
      <c r="DH36" s="170">
        <v>0</v>
      </c>
    </row>
    <row r="38" spans="1:113" ht="12.75">
      <c r="A38" s="1"/>
      <c r="C38" s="39"/>
      <c r="E38" s="39"/>
      <c r="G38" s="39"/>
      <c r="I38" s="39"/>
      <c r="K38" s="39"/>
      <c r="M38" s="39"/>
      <c r="O38" s="39"/>
      <c r="Q38" s="39"/>
      <c r="S38" s="39"/>
      <c r="U38" s="39"/>
      <c r="W38" s="39"/>
      <c r="Y38" s="39"/>
      <c r="AA38" s="39"/>
      <c r="AC38" s="39"/>
      <c r="AE38" s="39"/>
      <c r="AG38" s="39"/>
      <c r="AI38" s="39"/>
      <c r="AK38" s="39"/>
      <c r="AM38" s="39"/>
      <c r="AO38" s="39"/>
      <c r="AQ38" s="39"/>
      <c r="AS38" s="39"/>
      <c r="AU38" s="39"/>
      <c r="AW38" s="39"/>
      <c r="AY38" s="39"/>
      <c r="BA38" s="39"/>
      <c r="BC38" s="39"/>
      <c r="BE38" s="39"/>
      <c r="BG38" s="39"/>
      <c r="BI38" s="39"/>
      <c r="BK38" s="39"/>
      <c r="BM38" s="39"/>
      <c r="BO38" s="39"/>
      <c r="BQ38" s="39"/>
      <c r="BS38" s="39"/>
      <c r="BU38" s="39"/>
      <c r="BW38" s="39"/>
      <c r="BY38" s="39"/>
      <c r="CA38" s="39"/>
      <c r="CC38" s="39"/>
      <c r="CE38" s="39"/>
      <c r="CG38" s="39"/>
      <c r="CI38" s="39"/>
      <c r="CK38" s="39"/>
      <c r="CM38" s="39"/>
      <c r="CO38" s="39"/>
      <c r="CQ38" s="39"/>
      <c r="CS38" s="39"/>
      <c r="CU38" s="39"/>
      <c r="CW38" s="39"/>
      <c r="CY38" s="39"/>
      <c r="DA38" s="39"/>
      <c r="DC38" s="39"/>
      <c r="DE38" s="39"/>
      <c r="DG38" s="39"/>
      <c r="DI38" s="39"/>
    </row>
    <row r="39" spans="1:112" ht="12.75">
      <c r="A39"/>
      <c r="B39" s="242"/>
      <c r="D39" s="242"/>
      <c r="F39" s="242"/>
      <c r="H39" s="242"/>
      <c r="J39" s="242"/>
      <c r="L39" s="242"/>
      <c r="N39" s="242"/>
      <c r="P39" s="242"/>
      <c r="R39" s="242"/>
      <c r="T39" s="242"/>
      <c r="V39" s="242"/>
      <c r="X39" s="242"/>
      <c r="Z39" s="242"/>
      <c r="AB39" s="242"/>
      <c r="AD39" s="242"/>
      <c r="AF39" s="242"/>
      <c r="AH39" s="242"/>
      <c r="AJ39" s="242"/>
      <c r="AL39" s="242"/>
      <c r="AN39" s="242"/>
      <c r="AP39" s="242"/>
      <c r="AR39" s="242"/>
      <c r="AT39" s="242"/>
      <c r="AV39" s="242"/>
      <c r="AX39" s="242"/>
      <c r="AZ39" s="242"/>
      <c r="BB39" s="242"/>
      <c r="BD39" s="242"/>
      <c r="BF39" s="242"/>
      <c r="BH39" s="242"/>
      <c r="BJ39" s="242"/>
      <c r="BL39" s="242"/>
      <c r="BN39" s="242"/>
      <c r="BP39" s="242"/>
      <c r="BR39" s="242"/>
      <c r="BT39" s="242"/>
      <c r="BV39" s="242"/>
      <c r="BX39" s="242"/>
      <c r="BZ39" s="242"/>
      <c r="CB39" s="242"/>
      <c r="CD39" s="242"/>
      <c r="CF39" s="242"/>
      <c r="CH39" s="242"/>
      <c r="CJ39" s="242"/>
      <c r="CL39" s="242"/>
      <c r="CN39" s="242"/>
      <c r="CP39" s="242"/>
      <c r="CR39" s="242"/>
      <c r="CT39" s="242"/>
      <c r="CV39" s="242"/>
      <c r="CX39" s="242"/>
      <c r="CZ39" s="242"/>
      <c r="DB39" s="242"/>
      <c r="DD39" s="242"/>
      <c r="DF39" s="242"/>
      <c r="DH39" s="242"/>
    </row>
    <row r="40" spans="1:113" ht="13.5" thickBot="1">
      <c r="A40"/>
      <c r="B40" s="242"/>
      <c r="D40" s="244"/>
      <c r="E40" s="245"/>
      <c r="F40" s="242"/>
      <c r="H40" s="242"/>
      <c r="J40" s="244"/>
      <c r="K40" s="245"/>
      <c r="L40" s="242"/>
      <c r="N40" s="244"/>
      <c r="O40" s="245"/>
      <c r="P40" s="244"/>
      <c r="Q40" s="245"/>
      <c r="R40" s="242"/>
      <c r="T40" s="244"/>
      <c r="U40" s="245"/>
      <c r="V40" s="242"/>
      <c r="X40" s="242"/>
      <c r="Z40" s="242"/>
      <c r="AB40" s="242"/>
      <c r="AD40" s="244"/>
      <c r="AE40" s="245"/>
      <c r="AF40" s="244"/>
      <c r="AG40" s="245"/>
      <c r="AH40" s="244"/>
      <c r="AI40" s="245"/>
      <c r="AJ40" s="242"/>
      <c r="AL40" s="244"/>
      <c r="AM40" s="245"/>
      <c r="AN40" s="244"/>
      <c r="AO40" s="245"/>
      <c r="AP40" s="244"/>
      <c r="AQ40" s="245"/>
      <c r="AR40" s="244"/>
      <c r="AS40" s="245"/>
      <c r="AT40" s="244"/>
      <c r="AU40" s="245"/>
      <c r="AV40" s="244"/>
      <c r="AW40" s="245"/>
      <c r="AX40" s="242"/>
      <c r="AZ40" s="244"/>
      <c r="BA40" s="245"/>
      <c r="BB40" s="244"/>
      <c r="BC40" s="245"/>
      <c r="BD40" s="244"/>
      <c r="BE40" s="245"/>
      <c r="BF40" s="244"/>
      <c r="BG40" s="245"/>
      <c r="BH40" s="244"/>
      <c r="BI40" s="245"/>
      <c r="BJ40" s="242"/>
      <c r="BL40" s="242"/>
      <c r="BN40" s="244"/>
      <c r="BO40" s="245"/>
      <c r="BP40" s="242"/>
      <c r="BR40" s="242"/>
      <c r="BT40" s="242"/>
      <c r="BV40" s="242"/>
      <c r="BX40" s="242"/>
      <c r="BZ40" s="244"/>
      <c r="CA40" s="245"/>
      <c r="CB40" s="244"/>
      <c r="CC40" s="245"/>
      <c r="CD40" s="244"/>
      <c r="CE40" s="245"/>
      <c r="CF40" s="244"/>
      <c r="CG40" s="245"/>
      <c r="CH40" s="244"/>
      <c r="CI40" s="245"/>
      <c r="CJ40" s="244"/>
      <c r="CK40" s="245"/>
      <c r="CL40" s="244"/>
      <c r="CM40" s="245"/>
      <c r="CN40" s="244"/>
      <c r="CO40" s="245"/>
      <c r="CP40" s="244"/>
      <c r="CQ40" s="245"/>
      <c r="CR40" s="244"/>
      <c r="CS40" s="245"/>
      <c r="CT40" s="313"/>
      <c r="CU40" s="312"/>
      <c r="CV40" s="313"/>
      <c r="CW40" s="312"/>
      <c r="CX40" s="244"/>
      <c r="CY40" s="245"/>
      <c r="CZ40" s="244"/>
      <c r="DA40" s="245"/>
      <c r="DB40" s="244"/>
      <c r="DC40" s="245"/>
      <c r="DD40" s="313"/>
      <c r="DE40" s="312"/>
      <c r="DF40" s="313"/>
      <c r="DG40" s="312"/>
      <c r="DH40" s="244"/>
      <c r="DI40" s="245"/>
    </row>
    <row r="41" spans="1:112" ht="12.75">
      <c r="A41"/>
      <c r="B41" s="242"/>
      <c r="D41" s="242" t="s">
        <v>377</v>
      </c>
      <c r="F41" s="242"/>
      <c r="H41" s="242"/>
      <c r="J41" s="242"/>
      <c r="L41" s="242"/>
      <c r="N41" s="242"/>
      <c r="P41" s="242"/>
      <c r="R41" s="242"/>
      <c r="T41" s="242"/>
      <c r="V41" s="242"/>
      <c r="X41" s="242"/>
      <c r="Z41" s="242"/>
      <c r="AB41" s="242"/>
      <c r="AD41" s="242"/>
      <c r="AF41" s="242"/>
      <c r="AH41" s="242"/>
      <c r="AJ41" s="242"/>
      <c r="AL41" s="242"/>
      <c r="AN41" s="242"/>
      <c r="AP41" s="242"/>
      <c r="AR41" s="242" t="s">
        <v>465</v>
      </c>
      <c r="AT41" s="242"/>
      <c r="AV41" s="242" t="s">
        <v>465</v>
      </c>
      <c r="AX41" s="242"/>
      <c r="AZ41" s="242"/>
      <c r="BB41" s="242"/>
      <c r="BD41" s="242" t="s">
        <v>465</v>
      </c>
      <c r="BF41" s="242"/>
      <c r="BH41" s="242"/>
      <c r="BJ41" s="242"/>
      <c r="BL41" s="242"/>
      <c r="BN41" s="242" t="s">
        <v>465</v>
      </c>
      <c r="BP41" s="242"/>
      <c r="BR41" s="242"/>
      <c r="BT41" s="242"/>
      <c r="BV41" s="242"/>
      <c r="BX41" s="242"/>
      <c r="BZ41" s="242" t="s">
        <v>465</v>
      </c>
      <c r="CB41" s="242" t="s">
        <v>465</v>
      </c>
      <c r="CD41" s="242" t="s">
        <v>465</v>
      </c>
      <c r="CF41" s="242" t="s">
        <v>465</v>
      </c>
      <c r="CH41" s="242" t="s">
        <v>465</v>
      </c>
      <c r="CJ41" s="242" t="s">
        <v>465</v>
      </c>
      <c r="CL41" s="242" t="s">
        <v>465</v>
      </c>
      <c r="CN41" s="242" t="s">
        <v>465</v>
      </c>
      <c r="CP41" s="242" t="s">
        <v>465</v>
      </c>
      <c r="CR41" s="242"/>
      <c r="CT41" s="313"/>
      <c r="CU41" s="312"/>
      <c r="CV41" s="313"/>
      <c r="CW41" s="312"/>
      <c r="CX41" s="242"/>
      <c r="CZ41" s="242" t="s">
        <v>465</v>
      </c>
      <c r="DB41" s="242"/>
      <c r="DD41" s="313"/>
      <c r="DE41" s="312"/>
      <c r="DF41" s="313"/>
      <c r="DG41" s="312"/>
      <c r="DH41" s="242" t="s">
        <v>465</v>
      </c>
    </row>
    <row r="42" spans="1:112" ht="12.75">
      <c r="A42"/>
      <c r="B42" s="242"/>
      <c r="D42" s="242"/>
      <c r="F42" s="242"/>
      <c r="H42" s="242"/>
      <c r="J42" s="242"/>
      <c r="L42" s="242"/>
      <c r="N42" s="242"/>
      <c r="P42" s="242"/>
      <c r="R42" s="242"/>
      <c r="T42" s="242"/>
      <c r="V42" s="242"/>
      <c r="X42" s="242"/>
      <c r="Z42" s="242"/>
      <c r="AB42" s="242"/>
      <c r="AD42" s="242"/>
      <c r="AF42" s="242"/>
      <c r="AH42" s="242"/>
      <c r="AJ42" s="242"/>
      <c r="AL42" s="242"/>
      <c r="AN42" s="242"/>
      <c r="AP42" s="242"/>
      <c r="AR42" s="242"/>
      <c r="AT42" s="242"/>
      <c r="AV42" s="242"/>
      <c r="AX42" s="242"/>
      <c r="AZ42" s="242"/>
      <c r="BB42" s="242"/>
      <c r="BD42" s="242"/>
      <c r="BF42" s="242"/>
      <c r="BH42" s="242"/>
      <c r="BJ42" s="242"/>
      <c r="BL42" s="242"/>
      <c r="BN42" s="242"/>
      <c r="BP42" s="242"/>
      <c r="BR42" s="242"/>
      <c r="BT42" s="242"/>
      <c r="BV42" s="242"/>
      <c r="BX42" s="242"/>
      <c r="BZ42" s="242"/>
      <c r="CB42" s="242"/>
      <c r="CD42" s="242"/>
      <c r="CF42" s="242"/>
      <c r="CH42" s="242"/>
      <c r="CJ42" s="242"/>
      <c r="CL42" s="242"/>
      <c r="CN42" s="242"/>
      <c r="CP42" s="242"/>
      <c r="CR42" s="242"/>
      <c r="CT42" s="313"/>
      <c r="CU42" s="312"/>
      <c r="CV42" s="313"/>
      <c r="CW42" s="312"/>
      <c r="CX42" s="242"/>
      <c r="CZ42" s="242"/>
      <c r="DB42" s="242"/>
      <c r="DD42" s="313"/>
      <c r="DE42" s="312"/>
      <c r="DF42" s="313"/>
      <c r="DG42" s="312"/>
      <c r="DH42" s="242"/>
    </row>
    <row r="43" spans="1:113" ht="12.75">
      <c r="A43"/>
      <c r="B43" s="242"/>
      <c r="D43" s="242" t="s">
        <v>378</v>
      </c>
      <c r="E43" s="246">
        <v>42230</v>
      </c>
      <c r="F43" s="242"/>
      <c r="G43" s="246"/>
      <c r="H43" s="242"/>
      <c r="I43" s="246"/>
      <c r="J43" s="242"/>
      <c r="K43" s="246"/>
      <c r="L43" s="242"/>
      <c r="M43" s="246"/>
      <c r="N43" s="242" t="s">
        <v>378</v>
      </c>
      <c r="O43" s="246">
        <v>42382</v>
      </c>
      <c r="P43" s="242"/>
      <c r="Q43" s="246"/>
      <c r="R43" s="242"/>
      <c r="S43" s="246"/>
      <c r="T43" s="242"/>
      <c r="U43" s="246"/>
      <c r="V43" s="242"/>
      <c r="W43" s="246"/>
      <c r="X43" s="242"/>
      <c r="Y43" s="246"/>
      <c r="Z43" s="242"/>
      <c r="AA43" s="246"/>
      <c r="AB43" s="242"/>
      <c r="AC43" s="246"/>
      <c r="AD43" s="242"/>
      <c r="AE43" s="246"/>
      <c r="AF43" s="242"/>
      <c r="AG43" s="246"/>
      <c r="AH43" s="242"/>
      <c r="AI43" s="246"/>
      <c r="AJ43" s="242"/>
      <c r="AK43" s="246"/>
      <c r="AL43" s="242"/>
      <c r="AM43" s="246"/>
      <c r="AN43" s="242"/>
      <c r="AO43" s="246"/>
      <c r="AP43" s="242"/>
      <c r="AQ43" s="246"/>
      <c r="AR43" s="242" t="s">
        <v>378</v>
      </c>
      <c r="AS43" s="246">
        <v>42805</v>
      </c>
      <c r="AT43" s="242"/>
      <c r="AU43" s="246"/>
      <c r="AV43" s="242" t="s">
        <v>378</v>
      </c>
      <c r="AW43" s="246">
        <v>42864</v>
      </c>
      <c r="AX43" s="242"/>
      <c r="AY43" s="246"/>
      <c r="AZ43" s="242"/>
      <c r="BA43" s="246"/>
      <c r="BB43" s="242"/>
      <c r="BC43" s="246"/>
      <c r="BD43" s="242" t="s">
        <v>378</v>
      </c>
      <c r="BE43" s="246">
        <v>43020</v>
      </c>
      <c r="BF43" s="242"/>
      <c r="BG43" s="246"/>
      <c r="BH43" s="242"/>
      <c r="BI43" s="246"/>
      <c r="BJ43" s="242"/>
      <c r="BK43" s="246"/>
      <c r="BL43" s="242"/>
      <c r="BM43" s="246"/>
      <c r="BN43" s="242" t="s">
        <v>378</v>
      </c>
      <c r="BO43" s="246">
        <v>43169</v>
      </c>
      <c r="BP43" s="242"/>
      <c r="BQ43" s="246"/>
      <c r="BR43" s="242"/>
      <c r="BS43" s="246"/>
      <c r="BT43" s="242"/>
      <c r="BU43" s="246"/>
      <c r="BV43" s="242"/>
      <c r="BW43" s="246"/>
      <c r="BX43" s="242"/>
      <c r="BY43" s="246"/>
      <c r="BZ43" s="242" t="s">
        <v>378</v>
      </c>
      <c r="CA43" s="246">
        <v>43353</v>
      </c>
      <c r="CB43" s="242" t="s">
        <v>378</v>
      </c>
      <c r="CC43" s="246">
        <v>43353</v>
      </c>
      <c r="CD43" s="242" t="s">
        <v>378</v>
      </c>
      <c r="CE43" s="246">
        <v>43353</v>
      </c>
      <c r="CF43" s="242" t="s">
        <v>378</v>
      </c>
      <c r="CG43" s="246">
        <v>43446</v>
      </c>
      <c r="CH43" s="242" t="s">
        <v>378</v>
      </c>
      <c r="CI43" s="246">
        <v>43446</v>
      </c>
      <c r="CJ43" s="242" t="s">
        <v>378</v>
      </c>
      <c r="CK43" s="246">
        <v>43508</v>
      </c>
      <c r="CL43" s="242" t="s">
        <v>378</v>
      </c>
      <c r="CM43" s="246">
        <v>43535</v>
      </c>
      <c r="CN43" s="242" t="s">
        <v>378</v>
      </c>
      <c r="CO43" s="246">
        <v>43566</v>
      </c>
      <c r="CP43" s="242" t="s">
        <v>378</v>
      </c>
      <c r="CQ43" s="246">
        <v>43566</v>
      </c>
      <c r="CR43" s="242"/>
      <c r="CS43" s="246"/>
      <c r="CT43" s="313"/>
      <c r="CU43" s="314"/>
      <c r="CV43" s="313"/>
      <c r="CW43" s="314"/>
      <c r="CX43" s="242"/>
      <c r="CY43" s="246"/>
      <c r="CZ43" s="242" t="s">
        <v>378</v>
      </c>
      <c r="DA43" s="246">
        <v>43746</v>
      </c>
      <c r="DB43" s="242"/>
      <c r="DC43" s="246"/>
      <c r="DD43" s="313"/>
      <c r="DE43" s="314"/>
      <c r="DF43" s="313"/>
      <c r="DG43" s="314"/>
      <c r="DH43" s="350" t="s">
        <v>613</v>
      </c>
      <c r="DI43" s="350"/>
    </row>
    <row r="44" spans="1:112" ht="12.75">
      <c r="A44" t="s">
        <v>494</v>
      </c>
      <c r="B44" s="242"/>
      <c r="D44" s="242"/>
      <c r="F44" s="242"/>
      <c r="H44" s="242"/>
      <c r="J44" s="242"/>
      <c r="L44" s="242"/>
      <c r="N44" s="242"/>
      <c r="P44" s="242"/>
      <c r="R44" s="242"/>
      <c r="T44" s="242"/>
      <c r="V44" s="242"/>
      <c r="X44" s="242"/>
      <c r="Z44" s="242">
        <v>173614043</v>
      </c>
      <c r="AB44" s="242"/>
      <c r="AD44" s="242"/>
      <c r="AF44" s="242"/>
      <c r="AH44" s="242"/>
      <c r="AJ44" s="242"/>
      <c r="AL44" s="242"/>
      <c r="AN44" s="242"/>
      <c r="AP44" s="242"/>
      <c r="AR44" s="242"/>
      <c r="AT44" s="242"/>
      <c r="AV44" s="242"/>
      <c r="AX44" s="242"/>
      <c r="AZ44" s="242"/>
      <c r="BB44" s="242"/>
      <c r="BD44" s="242"/>
      <c r="BF44" s="242"/>
      <c r="BH44" s="242"/>
      <c r="BJ44" s="242"/>
      <c r="BL44" s="242"/>
      <c r="BN44" s="242"/>
      <c r="BP44" s="242"/>
      <c r="BR44" s="242"/>
      <c r="BT44" s="242"/>
      <c r="BV44" s="242"/>
      <c r="BX44" s="242"/>
      <c r="BZ44" s="242"/>
      <c r="CB44" s="242"/>
      <c r="CD44" s="242"/>
      <c r="CF44" s="242"/>
      <c r="CH44" s="242"/>
      <c r="CJ44" s="242"/>
      <c r="CL44" s="242"/>
      <c r="CN44" s="242"/>
      <c r="CP44" s="242"/>
      <c r="CR44" s="242"/>
      <c r="CT44" s="242"/>
      <c r="CV44" s="313"/>
      <c r="CW44" s="312"/>
      <c r="CX44" s="242"/>
      <c r="CZ44" s="242"/>
      <c r="DB44" s="242"/>
      <c r="DD44" s="313"/>
      <c r="DE44" s="312"/>
      <c r="DF44" s="313"/>
      <c r="DG44" s="312"/>
      <c r="DH44" s="242"/>
    </row>
    <row r="45" spans="1:112" ht="12.75">
      <c r="A45" s="243" t="s">
        <v>492</v>
      </c>
      <c r="B45" s="242"/>
      <c r="D45" s="242"/>
      <c r="F45" s="242"/>
      <c r="H45" s="242"/>
      <c r="J45" s="242"/>
      <c r="L45" s="242"/>
      <c r="N45" s="242"/>
      <c r="P45" s="242"/>
      <c r="R45" s="242"/>
      <c r="T45" s="242"/>
      <c r="V45" s="242"/>
      <c r="X45" s="242"/>
      <c r="Z45" s="242">
        <v>16932404</v>
      </c>
      <c r="AB45" s="242"/>
      <c r="AD45" s="242"/>
      <c r="AF45" s="242"/>
      <c r="AH45" s="242"/>
      <c r="AJ45" s="242"/>
      <c r="AL45" s="242"/>
      <c r="AN45" s="242"/>
      <c r="AP45" s="242"/>
      <c r="AR45" s="242"/>
      <c r="AT45" s="242"/>
      <c r="AV45" s="242"/>
      <c r="AX45" s="242"/>
      <c r="AZ45" s="242"/>
      <c r="BB45" s="242"/>
      <c r="BD45" s="242"/>
      <c r="BF45" s="242"/>
      <c r="BH45" s="242"/>
      <c r="BJ45" s="242"/>
      <c r="BL45" s="242"/>
      <c r="BN45" s="242"/>
      <c r="BP45" s="242"/>
      <c r="BR45" s="242"/>
      <c r="BT45" s="242"/>
      <c r="BV45" s="242"/>
      <c r="BX45" s="242"/>
      <c r="BZ45" s="242"/>
      <c r="CB45" s="242"/>
      <c r="CD45" s="242"/>
      <c r="CF45" s="242"/>
      <c r="CH45" s="242"/>
      <c r="CJ45" s="242"/>
      <c r="CL45" s="242"/>
      <c r="CN45" s="242"/>
      <c r="CP45" s="242"/>
      <c r="CR45" s="242"/>
      <c r="CT45" s="242"/>
      <c r="CV45" s="313"/>
      <c r="CW45" s="312"/>
      <c r="CX45" s="242"/>
      <c r="CZ45" s="242"/>
      <c r="DB45" s="242"/>
      <c r="DD45" s="242"/>
      <c r="DF45" s="242"/>
      <c r="DH45" s="242"/>
    </row>
    <row r="46" spans="1:112" ht="12.75">
      <c r="A46" s="39" t="s">
        <v>493</v>
      </c>
      <c r="B46" s="242"/>
      <c r="D46" s="242"/>
      <c r="F46" s="242"/>
      <c r="H46" s="242"/>
      <c r="J46" s="242"/>
      <c r="L46" s="242"/>
      <c r="N46" s="242"/>
      <c r="P46" s="242"/>
      <c r="R46" s="242"/>
      <c r="T46" s="242"/>
      <c r="V46" s="242"/>
      <c r="X46" s="242"/>
      <c r="Z46" s="292">
        <v>6005586</v>
      </c>
      <c r="AB46" s="242"/>
      <c r="AD46" s="242"/>
      <c r="AF46" s="242"/>
      <c r="AH46" s="242"/>
      <c r="AJ46" s="242"/>
      <c r="AL46" s="242"/>
      <c r="AN46" s="242"/>
      <c r="AP46" s="242"/>
      <c r="AR46" s="242"/>
      <c r="AT46" s="242"/>
      <c r="AV46" s="242"/>
      <c r="AX46" s="242"/>
      <c r="AZ46" s="242"/>
      <c r="BB46" s="242"/>
      <c r="BD46" s="242"/>
      <c r="BF46" s="242"/>
      <c r="BH46" s="242"/>
      <c r="BJ46" s="242"/>
      <c r="BL46" s="242"/>
      <c r="BN46" s="242"/>
      <c r="BP46" s="242"/>
      <c r="BR46" s="242"/>
      <c r="BT46" s="242"/>
      <c r="BV46" s="242"/>
      <c r="BX46" s="242"/>
      <c r="BZ46" s="242"/>
      <c r="CB46" s="242"/>
      <c r="CD46" s="242"/>
      <c r="CF46" s="242"/>
      <c r="CH46" s="242"/>
      <c r="CJ46" s="242"/>
      <c r="CL46" s="242"/>
      <c r="CN46" s="242"/>
      <c r="CP46" s="242"/>
      <c r="CR46" s="242"/>
      <c r="CT46" s="242"/>
      <c r="CV46" s="242"/>
      <c r="CX46" s="242"/>
      <c r="CZ46" s="242"/>
      <c r="DB46" s="242"/>
      <c r="DD46" s="242"/>
      <c r="DF46" s="242"/>
      <c r="DH46" s="242"/>
    </row>
    <row r="47" spans="2:112" ht="12.75">
      <c r="B47" s="242"/>
      <c r="D47" s="242"/>
      <c r="F47" s="242"/>
      <c r="H47" s="242"/>
      <c r="J47" s="242"/>
      <c r="L47" s="242"/>
      <c r="N47" s="242"/>
      <c r="P47" s="242"/>
      <c r="R47" s="242"/>
      <c r="T47" s="242"/>
      <c r="V47" s="242"/>
      <c r="X47" s="242"/>
      <c r="Z47" s="242">
        <f>Z44-Z45-Z46</f>
        <v>150676053</v>
      </c>
      <c r="AB47" s="242"/>
      <c r="AD47" s="242"/>
      <c r="AF47" s="242"/>
      <c r="AH47" s="242"/>
      <c r="AJ47" s="242"/>
      <c r="AL47" s="242"/>
      <c r="AN47" s="242"/>
      <c r="AP47" s="242"/>
      <c r="AR47" s="242"/>
      <c r="AT47" s="242"/>
      <c r="AV47" s="242"/>
      <c r="AX47" s="242"/>
      <c r="AZ47" s="242"/>
      <c r="BB47" s="242"/>
      <c r="BD47" s="242"/>
      <c r="BF47" s="242"/>
      <c r="BH47" s="242"/>
      <c r="BJ47" s="242"/>
      <c r="BL47" s="242"/>
      <c r="BN47" s="242"/>
      <c r="BP47" s="242"/>
      <c r="BR47" s="242"/>
      <c r="BT47" s="242"/>
      <c r="BV47" s="242"/>
      <c r="BX47" s="242"/>
      <c r="BZ47" s="242"/>
      <c r="CB47" s="242"/>
      <c r="CD47" s="242"/>
      <c r="CF47" s="242"/>
      <c r="CH47" s="242"/>
      <c r="CJ47" s="242"/>
      <c r="CL47" s="242"/>
      <c r="CN47" s="242"/>
      <c r="CP47" s="242"/>
      <c r="CR47" s="242"/>
      <c r="CT47" s="242"/>
      <c r="CV47" s="242"/>
      <c r="CX47" s="242"/>
      <c r="CZ47" s="242"/>
      <c r="DB47" s="242"/>
      <c r="DD47" s="242"/>
      <c r="DF47" s="242"/>
      <c r="DH47" s="242"/>
    </row>
    <row r="48" spans="2:113" ht="12.75">
      <c r="B48" s="242"/>
      <c r="D48" s="242"/>
      <c r="F48" s="242"/>
      <c r="H48" s="242"/>
      <c r="J48" s="242"/>
      <c r="L48" s="242"/>
      <c r="N48" s="242"/>
      <c r="P48" s="242"/>
      <c r="R48" s="242"/>
      <c r="T48" s="242"/>
      <c r="V48" s="242"/>
      <c r="X48" s="242"/>
      <c r="Z48" s="242">
        <v>141088078</v>
      </c>
      <c r="AB48" s="242"/>
      <c r="AD48" s="242">
        <v>131719289.81</v>
      </c>
      <c r="AF48" s="242">
        <v>131719289.81</v>
      </c>
      <c r="AH48" s="242">
        <v>131719289.81</v>
      </c>
      <c r="AJ48" s="242">
        <v>131719289.81</v>
      </c>
      <c r="AL48" s="242">
        <v>131719289.81</v>
      </c>
      <c r="AN48" s="242">
        <v>131719289.81</v>
      </c>
      <c r="AP48" s="242"/>
      <c r="AR48" s="242"/>
      <c r="AS48" s="286">
        <v>163919322.1</v>
      </c>
      <c r="AT48" s="242"/>
      <c r="AU48" s="286">
        <v>163561258.23333335</v>
      </c>
      <c r="AV48" s="242"/>
      <c r="AW48" s="286">
        <v>163561258.23333335</v>
      </c>
      <c r="AX48" s="242"/>
      <c r="AY48" s="286">
        <v>163561258.23333335</v>
      </c>
      <c r="AZ48" s="242"/>
      <c r="BA48" s="286">
        <v>163561258.23333335</v>
      </c>
      <c r="BB48" s="242"/>
      <c r="BC48" s="286">
        <v>163561258.23333335</v>
      </c>
      <c r="BD48" s="242"/>
      <c r="BE48" s="286">
        <v>163561258.23333335</v>
      </c>
      <c r="BF48" s="242"/>
      <c r="BG48" s="286"/>
      <c r="BH48" s="242"/>
      <c r="BI48" s="286"/>
      <c r="BJ48" s="242"/>
      <c r="BK48" s="286"/>
      <c r="BL48" s="242"/>
      <c r="BM48" s="286"/>
      <c r="BN48" s="242"/>
      <c r="BO48" s="286"/>
      <c r="BP48" s="242"/>
      <c r="BQ48" s="286"/>
      <c r="BR48" s="242"/>
      <c r="BS48" s="286"/>
      <c r="BT48" s="242"/>
      <c r="BU48" s="286"/>
      <c r="BV48" s="242"/>
      <c r="BW48" s="286"/>
      <c r="BX48" s="242"/>
      <c r="BY48" s="286"/>
      <c r="BZ48" s="242"/>
      <c r="CA48" s="286"/>
      <c r="CB48" s="242"/>
      <c r="CC48" s="286"/>
      <c r="CD48" s="242"/>
      <c r="CE48" s="286"/>
      <c r="CF48" s="242"/>
      <c r="CG48" s="286"/>
      <c r="CH48" s="242"/>
      <c r="CI48" s="286"/>
      <c r="CJ48" s="242"/>
      <c r="CK48" s="286"/>
      <c r="CL48" s="242"/>
      <c r="CM48" s="286"/>
      <c r="CN48" s="242"/>
      <c r="CO48" s="286"/>
      <c r="CP48" s="242"/>
      <c r="CQ48" s="286"/>
      <c r="CR48" s="242"/>
      <c r="CS48" s="286"/>
      <c r="CT48" s="242"/>
      <c r="CU48" s="286"/>
      <c r="CV48" s="242"/>
      <c r="CW48" s="286"/>
      <c r="CX48" s="242"/>
      <c r="CY48" s="286"/>
      <c r="CZ48" s="242"/>
      <c r="DA48" s="286"/>
      <c r="DB48" s="242"/>
      <c r="DC48" s="286"/>
      <c r="DD48" s="242"/>
      <c r="DE48" s="286"/>
      <c r="DF48" s="242"/>
      <c r="DG48" s="286"/>
      <c r="DH48" s="242"/>
      <c r="DI48" s="286"/>
    </row>
    <row r="49" spans="1:113" ht="12.75">
      <c r="A49" s="39" t="s">
        <v>495</v>
      </c>
      <c r="B49" s="242"/>
      <c r="D49" s="242"/>
      <c r="F49" s="242"/>
      <c r="H49" s="242"/>
      <c r="J49" s="242"/>
      <c r="L49" s="242"/>
      <c r="N49" s="242"/>
      <c r="P49" s="242"/>
      <c r="R49" s="242"/>
      <c r="T49" s="242"/>
      <c r="V49" s="242"/>
      <c r="X49" s="242"/>
      <c r="Z49" s="242">
        <f>Z45*20%</f>
        <v>3386480.8000000003</v>
      </c>
      <c r="AB49" s="242"/>
      <c r="AD49" s="242"/>
      <c r="AF49" s="242"/>
      <c r="AH49" s="242"/>
      <c r="AJ49" s="242"/>
      <c r="AL49" s="242"/>
      <c r="AN49" s="242"/>
      <c r="AP49" s="242"/>
      <c r="AR49" s="242"/>
      <c r="AS49" s="286">
        <v>135200216.58773965</v>
      </c>
      <c r="AT49" s="242"/>
      <c r="AU49" s="286">
        <v>136370699.15773967</v>
      </c>
      <c r="AV49" s="242"/>
      <c r="AW49" s="286">
        <v>136370699.15773967</v>
      </c>
      <c r="AX49" s="242"/>
      <c r="AY49" s="286">
        <v>136370699.15773967</v>
      </c>
      <c r="AZ49" s="242"/>
      <c r="BA49" s="286">
        <v>136370699.15773967</v>
      </c>
      <c r="BB49" s="242"/>
      <c r="BC49" s="286">
        <v>136370699.15773967</v>
      </c>
      <c r="BD49" s="242"/>
      <c r="BE49" s="286">
        <v>136370699.15773967</v>
      </c>
      <c r="BF49" s="242"/>
      <c r="BG49" s="286"/>
      <c r="BH49" s="242"/>
      <c r="BI49" s="286"/>
      <c r="BJ49" s="242"/>
      <c r="BK49" s="286"/>
      <c r="BL49" s="242"/>
      <c r="BM49" s="286"/>
      <c r="BN49" s="242"/>
      <c r="BO49" s="286"/>
      <c r="BP49" s="242"/>
      <c r="BQ49" s="286"/>
      <c r="BR49" s="242"/>
      <c r="BS49" s="286"/>
      <c r="BT49" s="242"/>
      <c r="BU49" s="286"/>
      <c r="BV49" s="242"/>
      <c r="BW49" s="286"/>
      <c r="BX49" s="242"/>
      <c r="BY49" s="286"/>
      <c r="BZ49" s="242"/>
      <c r="CA49" s="286"/>
      <c r="CB49" s="242"/>
      <c r="CC49" s="286"/>
      <c r="CD49" s="242"/>
      <c r="CE49" s="286"/>
      <c r="CF49" s="242"/>
      <c r="CG49" s="286"/>
      <c r="CH49" s="242"/>
      <c r="CI49" s="286"/>
      <c r="CJ49" s="242"/>
      <c r="CK49" s="286"/>
      <c r="CL49" s="242"/>
      <c r="CM49" s="286"/>
      <c r="CN49" s="242"/>
      <c r="CO49" s="286"/>
      <c r="CP49" s="242"/>
      <c r="CQ49" s="286"/>
      <c r="CR49" s="242"/>
      <c r="CS49" s="286"/>
      <c r="CT49" s="242"/>
      <c r="CU49" s="286"/>
      <c r="CV49" s="242"/>
      <c r="CW49" s="286"/>
      <c r="CX49" s="242"/>
      <c r="CY49" s="286"/>
      <c r="CZ49" s="242"/>
      <c r="DA49" s="286"/>
      <c r="DB49" s="242"/>
      <c r="DC49" s="286"/>
      <c r="DD49" s="242"/>
      <c r="DE49" s="286"/>
      <c r="DF49" s="242"/>
      <c r="DG49" s="286"/>
      <c r="DH49" s="242"/>
      <c r="DI49" s="286"/>
    </row>
    <row r="50" spans="2:113" ht="13.5" thickBot="1">
      <c r="B50" s="242"/>
      <c r="D50" s="242"/>
      <c r="F50" s="242"/>
      <c r="H50" s="242"/>
      <c r="J50" s="242"/>
      <c r="L50" s="242"/>
      <c r="N50" s="242"/>
      <c r="P50" s="242"/>
      <c r="R50" s="242"/>
      <c r="T50" s="242"/>
      <c r="V50" s="242"/>
      <c r="X50" s="242"/>
      <c r="Z50" s="293">
        <f>SUM(Z48:Z49)</f>
        <v>144474558.8</v>
      </c>
      <c r="AB50" s="242"/>
      <c r="AD50" s="242">
        <f>AD48-AD19</f>
        <v>0.45840877294540405</v>
      </c>
      <c r="AF50" s="242">
        <f>AF48-AF19</f>
        <v>-7739588.691591233</v>
      </c>
      <c r="AH50" s="242">
        <f>AH48-AH19</f>
        <v>7643447.7984087765</v>
      </c>
      <c r="AJ50" s="242">
        <f>AJ48-AJ19</f>
        <v>6672937.418408766</v>
      </c>
      <c r="AL50" s="242">
        <f>AL48-AL19</f>
        <v>-24848976.171591222</v>
      </c>
      <c r="AN50" s="242">
        <f>AN48-AN19</f>
        <v>-11732262.201591194</v>
      </c>
      <c r="AP50" s="242"/>
      <c r="AR50" s="242"/>
      <c r="AS50" s="286">
        <f>AS48-AS49</f>
        <v>28719105.512260348</v>
      </c>
      <c r="AT50" s="242"/>
      <c r="AU50" s="286">
        <f>AU48-AU49</f>
        <v>27190559.07559368</v>
      </c>
      <c r="AV50" s="242"/>
      <c r="AW50" s="286">
        <f>AW48-AW49</f>
        <v>27190559.07559368</v>
      </c>
      <c r="AX50" s="242"/>
      <c r="AY50" s="286">
        <f>AY48-AY49</f>
        <v>27190559.07559368</v>
      </c>
      <c r="AZ50" s="242"/>
      <c r="BA50" s="286">
        <f>BA48-BA49</f>
        <v>27190559.07559368</v>
      </c>
      <c r="BB50" s="242"/>
      <c r="BC50" s="286">
        <f>BC48-BC49</f>
        <v>27190559.07559368</v>
      </c>
      <c r="BD50" s="242"/>
      <c r="BE50" s="286">
        <f>BE48-BE49</f>
        <v>27190559.07559368</v>
      </c>
      <c r="BF50" s="242"/>
      <c r="BG50" s="286"/>
      <c r="BH50" s="242"/>
      <c r="BI50" s="286"/>
      <c r="BJ50" s="242"/>
      <c r="BK50" s="286"/>
      <c r="BL50" s="242"/>
      <c r="BM50" s="286"/>
      <c r="BN50" s="242"/>
      <c r="BO50" s="286"/>
      <c r="BP50" s="242"/>
      <c r="BQ50" s="286"/>
      <c r="BR50" s="242"/>
      <c r="BS50" s="286"/>
      <c r="BT50" s="242"/>
      <c r="BU50" s="286"/>
      <c r="BV50" s="242"/>
      <c r="BW50" s="286"/>
      <c r="BX50" s="242"/>
      <c r="BY50" s="286"/>
      <c r="BZ50" s="242"/>
      <c r="CA50" s="286"/>
      <c r="CB50" s="242"/>
      <c r="CC50" s="286"/>
      <c r="CD50" s="242"/>
      <c r="CE50" s="286"/>
      <c r="CF50" s="242"/>
      <c r="CG50" s="286"/>
      <c r="CH50" s="242"/>
      <c r="CI50" s="286"/>
      <c r="CJ50" s="242"/>
      <c r="CK50" s="286"/>
      <c r="CL50" s="242"/>
      <c r="CM50" s="286"/>
      <c r="CN50" s="242"/>
      <c r="CO50" s="286"/>
      <c r="CP50" s="242"/>
      <c r="CQ50" s="286"/>
      <c r="CR50" s="242"/>
      <c r="CS50" s="286"/>
      <c r="CT50" s="242"/>
      <c r="CU50" s="286"/>
      <c r="CV50" s="242"/>
      <c r="CW50" s="286"/>
      <c r="CX50" s="242"/>
      <c r="CY50" s="286"/>
      <c r="CZ50" s="242"/>
      <c r="DA50" s="286"/>
      <c r="DB50" s="242"/>
      <c r="DC50" s="286"/>
      <c r="DD50" s="242"/>
      <c r="DE50" s="286"/>
      <c r="DF50" s="242"/>
      <c r="DG50" s="286"/>
      <c r="DH50" s="242"/>
      <c r="DI50" s="286"/>
    </row>
    <row r="51" spans="2:113" ht="13.5" thickTop="1">
      <c r="B51" s="242"/>
      <c r="D51" s="242"/>
      <c r="F51" s="242"/>
      <c r="H51" s="242"/>
      <c r="J51" s="242"/>
      <c r="L51" s="242"/>
      <c r="N51" s="242"/>
      <c r="P51" s="242"/>
      <c r="R51" s="242"/>
      <c r="T51" s="242"/>
      <c r="V51" s="242"/>
      <c r="X51" s="242"/>
      <c r="Z51" s="242"/>
      <c r="AB51" s="242"/>
      <c r="AD51" s="242"/>
      <c r="AF51" s="242"/>
      <c r="AH51" s="242"/>
      <c r="AJ51" s="242"/>
      <c r="AL51" s="242"/>
      <c r="AN51" s="242"/>
      <c r="AP51" s="242"/>
      <c r="AR51" s="242"/>
      <c r="AS51" s="286"/>
      <c r="AT51" s="242"/>
      <c r="AU51" s="286"/>
      <c r="AV51" s="242"/>
      <c r="AW51" s="286"/>
      <c r="AX51" s="242"/>
      <c r="AY51" s="286"/>
      <c r="AZ51" s="242"/>
      <c r="BA51" s="286"/>
      <c r="BB51" s="242"/>
      <c r="BC51" s="286"/>
      <c r="BD51" s="242"/>
      <c r="BE51" s="286"/>
      <c r="BF51" s="242"/>
      <c r="BG51" s="286"/>
      <c r="BH51" s="242"/>
      <c r="BI51" s="286"/>
      <c r="BJ51" s="242"/>
      <c r="BK51" s="286"/>
      <c r="BL51" s="242"/>
      <c r="BM51" s="286"/>
      <c r="BN51" s="242"/>
      <c r="BO51" s="286"/>
      <c r="BP51" s="242"/>
      <c r="BQ51" s="286"/>
      <c r="BR51" s="242"/>
      <c r="BS51" s="286"/>
      <c r="BT51" s="242"/>
      <c r="BU51" s="286"/>
      <c r="BV51" s="242"/>
      <c r="BW51" s="286"/>
      <c r="BX51" s="242"/>
      <c r="BY51" s="286"/>
      <c r="BZ51" s="242"/>
      <c r="CA51" s="286"/>
      <c r="CB51" s="242"/>
      <c r="CC51" s="286"/>
      <c r="CD51" s="242"/>
      <c r="CE51" s="286"/>
      <c r="CF51" s="242"/>
      <c r="CG51" s="286"/>
      <c r="CH51" s="242"/>
      <c r="CI51" s="286"/>
      <c r="CJ51" s="242"/>
      <c r="CK51" s="286"/>
      <c r="CL51" s="242"/>
      <c r="CM51" s="286"/>
      <c r="CN51" s="242"/>
      <c r="CO51" s="286"/>
      <c r="CP51" s="242"/>
      <c r="CQ51" s="286"/>
      <c r="CR51" s="242"/>
      <c r="CS51" s="286"/>
      <c r="CT51" s="242"/>
      <c r="CU51" s="286"/>
      <c r="CV51" s="242"/>
      <c r="CW51" s="286"/>
      <c r="CX51" s="242"/>
      <c r="CY51" s="286"/>
      <c r="CZ51" s="242"/>
      <c r="DA51" s="286"/>
      <c r="DB51" s="242"/>
      <c r="DC51" s="286"/>
      <c r="DD51" s="242"/>
      <c r="DE51" s="286"/>
      <c r="DF51" s="242"/>
      <c r="DG51" s="286"/>
      <c r="DH51" s="242"/>
      <c r="DI51" s="286"/>
    </row>
    <row r="52" spans="2:113" ht="12.75">
      <c r="B52" s="213"/>
      <c r="D52" s="213"/>
      <c r="F52" s="213"/>
      <c r="H52" s="213"/>
      <c r="J52" s="213"/>
      <c r="L52" s="213"/>
      <c r="N52" s="213"/>
      <c r="P52" s="213"/>
      <c r="R52" s="213"/>
      <c r="T52" s="213"/>
      <c r="V52" s="213"/>
      <c r="X52" s="213"/>
      <c r="Z52" s="213"/>
      <c r="AB52" s="213"/>
      <c r="AD52" s="213"/>
      <c r="AF52" s="213"/>
      <c r="AH52" s="213"/>
      <c r="AJ52" s="213"/>
      <c r="AL52" s="213"/>
      <c r="AN52" s="213"/>
      <c r="AP52" s="213"/>
      <c r="AR52" s="54"/>
      <c r="AS52" s="286"/>
      <c r="AT52" s="54"/>
      <c r="AU52" s="286"/>
      <c r="AV52" s="54"/>
      <c r="AW52" s="286"/>
      <c r="AX52" s="54"/>
      <c r="AY52" s="286"/>
      <c r="AZ52" s="54"/>
      <c r="BA52" s="286"/>
      <c r="BB52" s="54"/>
      <c r="BC52" s="286"/>
      <c r="BD52" s="54"/>
      <c r="BE52" s="286"/>
      <c r="BF52" s="54"/>
      <c r="BG52" s="286"/>
      <c r="BH52" s="54"/>
      <c r="BI52" s="286"/>
      <c r="BJ52" s="54"/>
      <c r="BK52" s="286"/>
      <c r="BL52" s="54"/>
      <c r="BM52" s="286"/>
      <c r="BN52" s="54"/>
      <c r="BO52" s="286"/>
      <c r="BP52" s="54"/>
      <c r="BQ52" s="286"/>
      <c r="BR52" s="54"/>
      <c r="BS52" s="286"/>
      <c r="BT52" s="54"/>
      <c r="BU52" s="286"/>
      <c r="BV52" s="54"/>
      <c r="BW52" s="286"/>
      <c r="BX52" s="54"/>
      <c r="BY52" s="286"/>
      <c r="BZ52" s="54"/>
      <c r="CA52" s="286"/>
      <c r="CB52" s="54"/>
      <c r="CC52" s="286"/>
      <c r="CD52" s="54"/>
      <c r="CE52" s="286"/>
      <c r="CF52" s="54"/>
      <c r="CG52" s="286"/>
      <c r="CH52" s="54"/>
      <c r="CI52" s="286"/>
      <c r="CJ52" s="54"/>
      <c r="CK52" s="286"/>
      <c r="CL52" s="54"/>
      <c r="CM52" s="286"/>
      <c r="CN52" s="54"/>
      <c r="CO52" s="286"/>
      <c r="CP52" s="54"/>
      <c r="CQ52" s="286"/>
      <c r="CR52" s="54"/>
      <c r="CS52" s="286"/>
      <c r="CT52" s="54"/>
      <c r="CU52" s="286"/>
      <c r="CV52" s="54"/>
      <c r="CW52" s="286"/>
      <c r="CX52" s="54"/>
      <c r="CY52" s="286"/>
      <c r="CZ52" s="54"/>
      <c r="DA52" s="286"/>
      <c r="DB52" s="54"/>
      <c r="DC52" s="286"/>
      <c r="DD52" s="54"/>
      <c r="DE52" s="286"/>
      <c r="DF52" s="54"/>
      <c r="DG52" s="286"/>
      <c r="DH52" s="54"/>
      <c r="DI52" s="286"/>
    </row>
    <row r="53" spans="44:113" ht="12.75">
      <c r="AR53" s="29"/>
      <c r="AS53" s="286"/>
      <c r="AT53" s="29"/>
      <c r="AU53" s="286"/>
      <c r="AV53" s="29"/>
      <c r="AW53" s="286"/>
      <c r="AX53" s="29"/>
      <c r="AY53" s="286"/>
      <c r="AZ53" s="29"/>
      <c r="BA53" s="286"/>
      <c r="BB53" s="29"/>
      <c r="BC53" s="286"/>
      <c r="BD53" s="29"/>
      <c r="BE53" s="286"/>
      <c r="BF53" s="29"/>
      <c r="BG53" s="286"/>
      <c r="BH53" s="29"/>
      <c r="BI53" s="286"/>
      <c r="BJ53" s="29"/>
      <c r="BK53" s="286"/>
      <c r="BL53" s="29"/>
      <c r="BM53" s="286"/>
      <c r="BN53" s="29"/>
      <c r="BO53" s="286"/>
      <c r="BP53" s="29"/>
      <c r="BQ53" s="286"/>
      <c r="BR53" s="29"/>
      <c r="BS53" s="286"/>
      <c r="BT53" s="29"/>
      <c r="BU53" s="286"/>
      <c r="BV53" s="29"/>
      <c r="BW53" s="286"/>
      <c r="BX53" s="29"/>
      <c r="BY53" s="286"/>
      <c r="BZ53" s="29"/>
      <c r="CA53" s="286"/>
      <c r="CB53" s="29"/>
      <c r="CC53" s="286"/>
      <c r="CD53" s="29"/>
      <c r="CE53" s="286"/>
      <c r="CF53" s="29"/>
      <c r="CG53" s="286"/>
      <c r="CH53" s="29"/>
      <c r="CI53" s="286"/>
      <c r="CJ53" s="29"/>
      <c r="CK53" s="286"/>
      <c r="CL53" s="29"/>
      <c r="CM53" s="286"/>
      <c r="CN53" s="29"/>
      <c r="CO53" s="286"/>
      <c r="CP53" s="29"/>
      <c r="CQ53" s="286"/>
      <c r="CR53" s="29"/>
      <c r="CS53" s="286"/>
      <c r="CT53" s="29"/>
      <c r="CU53" s="286"/>
      <c r="CV53" s="29"/>
      <c r="CW53" s="286"/>
      <c r="CX53" s="29"/>
      <c r="CY53" s="286"/>
      <c r="CZ53" s="29"/>
      <c r="DA53" s="286"/>
      <c r="DB53" s="29"/>
      <c r="DC53" s="286"/>
      <c r="DD53" s="29"/>
      <c r="DE53" s="286"/>
      <c r="DF53" s="29"/>
      <c r="DG53" s="286"/>
      <c r="DH53" s="29"/>
      <c r="DI53" s="286"/>
    </row>
    <row r="54" spans="40:113" ht="13.5" thickBot="1">
      <c r="AN54" s="283">
        <v>143451551.68</v>
      </c>
      <c r="AP54" s="283"/>
      <c r="AR54" s="287"/>
      <c r="AS54" s="286"/>
      <c r="AT54" s="287"/>
      <c r="AU54" s="286"/>
      <c r="AV54" s="287"/>
      <c r="AW54" s="286"/>
      <c r="AX54" s="287"/>
      <c r="AY54" s="286"/>
      <c r="AZ54" s="287"/>
      <c r="BA54" s="286"/>
      <c r="BB54" s="287"/>
      <c r="BC54" s="286"/>
      <c r="BD54" s="287"/>
      <c r="BE54" s="286"/>
      <c r="BF54" s="287"/>
      <c r="BG54" s="286"/>
      <c r="BH54" s="287"/>
      <c r="BI54" s="286"/>
      <c r="BJ54" s="287"/>
      <c r="BK54" s="286"/>
      <c r="BL54" s="287"/>
      <c r="BM54" s="286"/>
      <c r="BN54" s="287"/>
      <c r="BO54" s="286"/>
      <c r="BP54" s="287"/>
      <c r="BQ54" s="286"/>
      <c r="BR54" s="287"/>
      <c r="BS54" s="286"/>
      <c r="BT54" s="287"/>
      <c r="BU54" s="286"/>
      <c r="BV54" s="287"/>
      <c r="BW54" s="286"/>
      <c r="BX54" s="287"/>
      <c r="BY54" s="286"/>
      <c r="BZ54" s="287"/>
      <c r="CA54" s="286"/>
      <c r="CB54" s="287"/>
      <c r="CC54" s="286"/>
      <c r="CD54" s="287"/>
      <c r="CE54" s="286"/>
      <c r="CF54" s="287"/>
      <c r="CG54" s="286"/>
      <c r="CH54" s="287"/>
      <c r="CI54" s="286"/>
      <c r="CJ54" s="287"/>
      <c r="CK54" s="286"/>
      <c r="CL54" s="287"/>
      <c r="CM54" s="286"/>
      <c r="CN54" s="287"/>
      <c r="CO54" s="286"/>
      <c r="CP54" s="287"/>
      <c r="CQ54" s="286"/>
      <c r="CR54" s="287"/>
      <c r="CS54" s="286"/>
      <c r="CT54" s="287"/>
      <c r="CU54" s="286"/>
      <c r="CV54" s="287"/>
      <c r="CW54" s="286"/>
      <c r="CX54" s="287"/>
      <c r="CY54" s="286"/>
      <c r="CZ54" s="287"/>
      <c r="DA54" s="286"/>
      <c r="DB54" s="287"/>
      <c r="DC54" s="286"/>
      <c r="DD54" s="287"/>
      <c r="DE54" s="286"/>
      <c r="DF54" s="287"/>
      <c r="DG54" s="286"/>
      <c r="DH54" s="287"/>
      <c r="DI54" s="286"/>
    </row>
    <row r="55" ht="13.5" thickTop="1"/>
    <row r="57" spans="60:112" ht="12.75">
      <c r="BH57" s="290">
        <v>146116572.57666665</v>
      </c>
      <c r="BJ57" s="290">
        <v>168580883.39999998</v>
      </c>
      <c r="BL57" s="290">
        <v>161043923.94333333</v>
      </c>
      <c r="BN57" s="290">
        <v>161043923.94333333</v>
      </c>
      <c r="BP57" s="290">
        <f>213789668.91-30000000</f>
        <v>183789668.91</v>
      </c>
      <c r="BR57" s="290">
        <v>183955811.77000004</v>
      </c>
      <c r="BT57" s="290">
        <v>133594039.72</v>
      </c>
      <c r="BV57" s="290">
        <v>114092768.75</v>
      </c>
      <c r="BX57" s="290">
        <v>114092768.75</v>
      </c>
      <c r="BZ57" s="290">
        <v>160817736.31266668</v>
      </c>
      <c r="CB57" s="290">
        <v>124935480.75200002</v>
      </c>
      <c r="CD57" s="290">
        <v>124935480.75200002</v>
      </c>
      <c r="CF57" s="290">
        <v>124935480.75200002</v>
      </c>
      <c r="CH57" s="290">
        <v>124935480.75200002</v>
      </c>
      <c r="CJ57" s="290">
        <v>124935480.75200002</v>
      </c>
      <c r="CL57" s="290">
        <v>124935480.75200002</v>
      </c>
      <c r="CN57" s="290">
        <v>124935480.75200002</v>
      </c>
      <c r="CP57" s="290">
        <v>124935480.75200002</v>
      </c>
      <c r="CR57" s="290">
        <v>124935480.75200002</v>
      </c>
      <c r="CT57" s="290">
        <v>124935480.75200002</v>
      </c>
      <c r="CV57" s="290">
        <v>124935480.75200002</v>
      </c>
      <c r="CX57" s="290">
        <v>124935480.75200002</v>
      </c>
      <c r="CZ57" s="290">
        <v>124935480.75200002</v>
      </c>
      <c r="DB57" s="290">
        <v>124935480.75200002</v>
      </c>
      <c r="DD57" s="290">
        <v>124935480.75200002</v>
      </c>
      <c r="DF57" s="290">
        <v>124935480.75200002</v>
      </c>
      <c r="DH57" s="290">
        <v>124935480.75200002</v>
      </c>
    </row>
    <row r="58" spans="72:76" ht="12.75">
      <c r="BT58" s="39">
        <v>20000000</v>
      </c>
      <c r="BV58" s="39">
        <v>20000000</v>
      </c>
      <c r="BX58" s="39">
        <v>20000000</v>
      </c>
    </row>
    <row r="59" spans="72:112" ht="12.75">
      <c r="BT59" s="213">
        <f>SUM(BT57:BT58)</f>
        <v>153594039.72</v>
      </c>
      <c r="BV59" s="213">
        <f>SUM(BV57:BV58)</f>
        <v>134092768.75</v>
      </c>
      <c r="BX59" s="213">
        <f>SUM(BX57:BX58)</f>
        <v>134092768.75</v>
      </c>
      <c r="BZ59" s="213"/>
      <c r="CB59" s="213"/>
      <c r="CD59" s="213"/>
      <c r="CF59" s="213">
        <v>144256755.1966667</v>
      </c>
      <c r="CH59" s="213">
        <v>163387566.23400003</v>
      </c>
      <c r="CJ59" s="213">
        <v>169562940.66333336</v>
      </c>
      <c r="CL59" s="213">
        <v>146671173.81666666</v>
      </c>
      <c r="CN59" s="213">
        <v>132561316.54800001</v>
      </c>
      <c r="CP59" s="213">
        <v>111219798.45933335</v>
      </c>
      <c r="CR59" s="213">
        <v>117912204.69266668</v>
      </c>
      <c r="CT59" s="213">
        <v>96246815.73</v>
      </c>
      <c r="CV59" s="311">
        <v>118875941.11199999</v>
      </c>
      <c r="CX59" s="311">
        <v>118875941.11199999</v>
      </c>
      <c r="CZ59" s="311">
        <v>118875941.11199999</v>
      </c>
      <c r="DB59" s="311">
        <v>118875941.11199999</v>
      </c>
      <c r="DD59" s="311">
        <v>122447225.36999999</v>
      </c>
      <c r="DF59" s="311">
        <v>122447225.36999999</v>
      </c>
      <c r="DH59" s="311">
        <v>146980370.47</v>
      </c>
    </row>
    <row r="60" spans="84:112" ht="12.75">
      <c r="CF60" s="170">
        <f>CF34</f>
        <v>113015221.32000002</v>
      </c>
      <c r="CH60" s="170">
        <f>CH34</f>
        <v>131843095.6</v>
      </c>
      <c r="CJ60" s="170">
        <f>CJ19</f>
        <v>139057352.7777397</v>
      </c>
      <c r="CL60" s="170"/>
      <c r="CN60" s="170"/>
      <c r="CP60" s="170"/>
      <c r="CR60" s="170"/>
      <c r="CT60" s="170"/>
      <c r="CV60" s="57">
        <f>CV19</f>
        <v>118875941.11199999</v>
      </c>
      <c r="CX60" s="57">
        <f>CX19</f>
        <v>141890250.38773972</v>
      </c>
      <c r="CZ60" s="57">
        <f>CZ19</f>
        <v>121656860.8577397</v>
      </c>
      <c r="DB60" s="57">
        <f>DB19</f>
        <v>134548045.0977397</v>
      </c>
      <c r="DD60" s="57">
        <f>DD19</f>
        <v>122447225.84773971</v>
      </c>
      <c r="DF60" s="57">
        <f>DF19</f>
        <v>149017883.3677397</v>
      </c>
      <c r="DH60" s="57">
        <f>DH19</f>
        <v>146980370.47</v>
      </c>
    </row>
    <row r="61" spans="72:112" ht="12.75">
      <c r="BT61" s="295">
        <f>BT19-BT59</f>
        <v>0</v>
      </c>
      <c r="BV61" s="295">
        <f>BV19-BV59</f>
        <v>-20000000.35392697</v>
      </c>
      <c r="BX61" s="295">
        <f>BX19-BX59</f>
        <v>29117713.726072997</v>
      </c>
      <c r="BZ61" s="295"/>
      <c r="CB61" s="295"/>
      <c r="CD61" s="295"/>
      <c r="CF61" s="295"/>
      <c r="CH61" s="295"/>
      <c r="CJ61" s="295"/>
      <c r="CL61" s="295">
        <f>CL59-CL19</f>
        <v>-0.0010730326175689697</v>
      </c>
      <c r="CN61" s="295">
        <f>CN59-CN19</f>
        <v>3611011.550260365</v>
      </c>
      <c r="CP61" s="295">
        <f>CP59-CP19</f>
        <v>-26115948.748406306</v>
      </c>
      <c r="CR61" s="295">
        <f>CR59-CR19</f>
        <v>0.34492699801921844</v>
      </c>
      <c r="CT61" s="295">
        <v>0</v>
      </c>
      <c r="CV61" s="186">
        <f>CV59-CV60</f>
        <v>0</v>
      </c>
      <c r="CX61" s="186">
        <f>CX59-CX60</f>
        <v>-23014309.27573973</v>
      </c>
      <c r="CZ61" s="186">
        <f>CZ59-CZ60</f>
        <v>-2780919.7457397133</v>
      </c>
      <c r="DB61" s="186">
        <f>DB59-DB60</f>
        <v>-15672103.985739708</v>
      </c>
      <c r="DD61" s="186">
        <f>DD59-DD60</f>
        <v>-0.47773972153663635</v>
      </c>
      <c r="DF61" s="186">
        <f>DF59-DF60</f>
        <v>-26570657.997739717</v>
      </c>
      <c r="DH61" s="186">
        <f>DH59-DH60</f>
        <v>0</v>
      </c>
    </row>
    <row r="62" spans="84:112" ht="12.75">
      <c r="CF62" s="305">
        <f>CF60-CF59</f>
        <v>-31241533.876666665</v>
      </c>
      <c r="CH62" s="305">
        <f>CH60-CH59</f>
        <v>-31544470.634000033</v>
      </c>
      <c r="CJ62" s="305">
        <f>CJ60-CJ59</f>
        <v>-30505587.885593653</v>
      </c>
      <c r="CL62" s="305"/>
      <c r="CN62" s="305"/>
      <c r="CP62" s="305"/>
      <c r="CR62" s="305"/>
      <c r="CT62" s="305"/>
      <c r="CV62" s="305"/>
      <c r="CX62" s="305"/>
      <c r="CZ62" s="305"/>
      <c r="DB62" s="305"/>
      <c r="DD62" s="305"/>
      <c r="DF62" s="305"/>
      <c r="DH62" s="305"/>
    </row>
  </sheetData>
  <sheetProtection/>
  <mergeCells count="114">
    <mergeCell ref="DH43:DI43"/>
    <mergeCell ref="A1:DI1"/>
    <mergeCell ref="DH2:DI2"/>
    <mergeCell ref="DH3:DI3"/>
    <mergeCell ref="CJ2:CK2"/>
    <mergeCell ref="CJ3:CK3"/>
    <mergeCell ref="CH2:CI2"/>
    <mergeCell ref="CH3:CI3"/>
    <mergeCell ref="CR2:CS2"/>
    <mergeCell ref="CR3:CS3"/>
    <mergeCell ref="CL2:CM2"/>
    <mergeCell ref="CL3:CM3"/>
    <mergeCell ref="CF2:CG2"/>
    <mergeCell ref="CF3:CG3"/>
    <mergeCell ref="CD2:CE2"/>
    <mergeCell ref="CD3:CE3"/>
    <mergeCell ref="CB2:CC2"/>
    <mergeCell ref="CB3:CC3"/>
    <mergeCell ref="BV2:BW2"/>
    <mergeCell ref="BV3:BW3"/>
    <mergeCell ref="BX2:BY2"/>
    <mergeCell ref="BX3:BY3"/>
    <mergeCell ref="AD2:AE2"/>
    <mergeCell ref="AD3:AE3"/>
    <mergeCell ref="AZ2:BA2"/>
    <mergeCell ref="AZ3:BA3"/>
    <mergeCell ref="AJ2:AK2"/>
    <mergeCell ref="AJ3:AK3"/>
    <mergeCell ref="AN2:AO2"/>
    <mergeCell ref="AN3:AO3"/>
    <mergeCell ref="R2:S2"/>
    <mergeCell ref="R3:S3"/>
    <mergeCell ref="V2:W2"/>
    <mergeCell ref="V3:W3"/>
    <mergeCell ref="AF2:AG2"/>
    <mergeCell ref="AF3:AG3"/>
    <mergeCell ref="L2:M2"/>
    <mergeCell ref="L3:M3"/>
    <mergeCell ref="J2:K2"/>
    <mergeCell ref="J3:K3"/>
    <mergeCell ref="X2:Y2"/>
    <mergeCell ref="X3:Y3"/>
    <mergeCell ref="N2:O2"/>
    <mergeCell ref="N3:O3"/>
    <mergeCell ref="P2:Q2"/>
    <mergeCell ref="P3:Q3"/>
    <mergeCell ref="AP2:AQ2"/>
    <mergeCell ref="AP3:AQ3"/>
    <mergeCell ref="B2:C2"/>
    <mergeCell ref="B3:C3"/>
    <mergeCell ref="D2:E2"/>
    <mergeCell ref="D3:E3"/>
    <mergeCell ref="F2:G2"/>
    <mergeCell ref="F3:G3"/>
    <mergeCell ref="H2:I2"/>
    <mergeCell ref="H3:I3"/>
    <mergeCell ref="AL2:AM2"/>
    <mergeCell ref="AL3:AM3"/>
    <mergeCell ref="T2:U2"/>
    <mergeCell ref="T3:U3"/>
    <mergeCell ref="Z2:AA2"/>
    <mergeCell ref="Z3:AA3"/>
    <mergeCell ref="AB2:AC2"/>
    <mergeCell ref="AB3:AC3"/>
    <mergeCell ref="AH2:AI2"/>
    <mergeCell ref="AH3:AI3"/>
    <mergeCell ref="BF2:BG2"/>
    <mergeCell ref="BF3:BG3"/>
    <mergeCell ref="BB2:BC2"/>
    <mergeCell ref="BB3:BC3"/>
    <mergeCell ref="BD2:BE2"/>
    <mergeCell ref="BD3:BE3"/>
    <mergeCell ref="AR2:AS2"/>
    <mergeCell ref="AR3:AS3"/>
    <mergeCell ref="AX2:AY2"/>
    <mergeCell ref="AX3:AY3"/>
    <mergeCell ref="AV2:AW2"/>
    <mergeCell ref="AV3:AW3"/>
    <mergeCell ref="AT2:AU2"/>
    <mergeCell ref="AT3:AU3"/>
    <mergeCell ref="BH2:BI2"/>
    <mergeCell ref="BH3:BI3"/>
    <mergeCell ref="BN2:BO2"/>
    <mergeCell ref="BN3:BO3"/>
    <mergeCell ref="BP2:BQ2"/>
    <mergeCell ref="BP3:BQ3"/>
    <mergeCell ref="BJ2:BK2"/>
    <mergeCell ref="BJ3:BK3"/>
    <mergeCell ref="BZ2:CA2"/>
    <mergeCell ref="BZ3:CA3"/>
    <mergeCell ref="BT2:BU2"/>
    <mergeCell ref="BT3:BU3"/>
    <mergeCell ref="BL2:BM2"/>
    <mergeCell ref="BL3:BM3"/>
    <mergeCell ref="BR2:BS2"/>
    <mergeCell ref="BR3:BS3"/>
    <mergeCell ref="CP2:CQ2"/>
    <mergeCell ref="CP3:CQ3"/>
    <mergeCell ref="CZ2:DA2"/>
    <mergeCell ref="CZ3:DA3"/>
    <mergeCell ref="CN2:CO2"/>
    <mergeCell ref="CN3:CO3"/>
    <mergeCell ref="CV2:CW2"/>
    <mergeCell ref="CV3:CW3"/>
    <mergeCell ref="CT2:CU2"/>
    <mergeCell ref="CT3:CU3"/>
    <mergeCell ref="DF2:DG2"/>
    <mergeCell ref="DF3:DG3"/>
    <mergeCell ref="DB2:DC2"/>
    <mergeCell ref="DB3:DC3"/>
    <mergeCell ref="CX2:CY2"/>
    <mergeCell ref="CX3:CY3"/>
    <mergeCell ref="DD2:DE2"/>
    <mergeCell ref="DD3:DE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O448"/>
  <sheetViews>
    <sheetView zoomScalePageLayoutView="0" workbookViewId="0" topLeftCell="A1">
      <pane xSplit="1" ySplit="3" topLeftCell="EC4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C446" sqref="EC446"/>
    </sheetView>
  </sheetViews>
  <sheetFormatPr defaultColWidth="9.140625" defaultRowHeight="12.75"/>
  <cols>
    <col min="1" max="1" width="26.28125" style="0" customWidth="1"/>
    <col min="2" max="2" width="12.8515625" style="0" customWidth="1"/>
    <col min="3" max="3" width="11.421875" style="0" customWidth="1"/>
    <col min="4" max="4" width="11.57421875" style="0" customWidth="1"/>
    <col min="5" max="23" width="9.140625" style="0" customWidth="1"/>
    <col min="24" max="24" width="10.00390625" style="0" customWidth="1"/>
    <col min="25" max="27" width="9.140625" style="0" customWidth="1"/>
    <col min="28" max="28" width="9.140625" style="0" hidden="1" customWidth="1"/>
    <col min="29" max="29" width="10.00390625" style="0" hidden="1" customWidth="1"/>
    <col min="30" max="33" width="9.140625" style="0" hidden="1" customWidth="1"/>
    <col min="34" max="36" width="12.7109375" style="0" hidden="1" customWidth="1"/>
    <col min="37" max="37" width="11.7109375" style="0" hidden="1" customWidth="1"/>
    <col min="38" max="38" width="9.28125" style="0" hidden="1" customWidth="1"/>
    <col min="39" max="39" width="12.7109375" style="0" hidden="1" customWidth="1"/>
    <col min="40" max="40" width="10.00390625" style="0" hidden="1" customWidth="1"/>
    <col min="41" max="43" width="9.140625" style="0" hidden="1" customWidth="1"/>
    <col min="44" max="44" width="9.28125" style="0" hidden="1" customWidth="1"/>
    <col min="45" max="45" width="12.7109375" style="0" hidden="1" customWidth="1"/>
    <col min="46" max="46" width="10.00390625" style="0" hidden="1" customWidth="1"/>
    <col min="47" max="49" width="0" style="0" hidden="1" customWidth="1"/>
    <col min="50" max="50" width="9.28125" style="0" hidden="1" customWidth="1"/>
    <col min="51" max="51" width="12.7109375" style="0" hidden="1" customWidth="1"/>
    <col min="52" max="52" width="10.00390625" style="0" hidden="1" customWidth="1"/>
    <col min="53" max="55" width="0" style="0" hidden="1" customWidth="1"/>
    <col min="56" max="56" width="9.28125" style="0" hidden="1" customWidth="1"/>
    <col min="57" max="57" width="12.7109375" style="0" hidden="1" customWidth="1"/>
    <col min="58" max="58" width="10.00390625" style="0" hidden="1" customWidth="1"/>
    <col min="59" max="61" width="0" style="0" hidden="1" customWidth="1"/>
    <col min="62" max="62" width="9.28125" style="0" hidden="1" customWidth="1"/>
    <col min="63" max="63" width="12.7109375" style="0" hidden="1" customWidth="1"/>
    <col min="64" max="64" width="10.00390625" style="0" hidden="1" customWidth="1"/>
    <col min="65" max="68" width="0" style="0" hidden="1" customWidth="1"/>
    <col min="69" max="69" width="9.28125" style="0" hidden="1" customWidth="1"/>
    <col min="70" max="70" width="12.7109375" style="0" hidden="1" customWidth="1"/>
    <col min="71" max="71" width="10.00390625" style="0" hidden="1" customWidth="1"/>
    <col min="72" max="75" width="0" style="0" hidden="1" customWidth="1"/>
    <col min="76" max="76" width="9.28125" style="0" hidden="1" customWidth="1"/>
    <col min="77" max="77" width="12.7109375" style="0" hidden="1" customWidth="1"/>
    <col min="78" max="78" width="10.00390625" style="0" hidden="1" customWidth="1"/>
    <col min="79" max="82" width="0" style="0" hidden="1" customWidth="1"/>
    <col min="83" max="83" width="9.28125" style="0" hidden="1" customWidth="1"/>
    <col min="84" max="84" width="12.7109375" style="0" hidden="1" customWidth="1"/>
    <col min="85" max="85" width="10.00390625" style="0" hidden="1" customWidth="1"/>
    <col min="86" max="89" width="0" style="0" hidden="1" customWidth="1"/>
    <col min="90" max="90" width="9.28125" style="0" hidden="1" customWidth="1"/>
    <col min="91" max="91" width="12.7109375" style="0" hidden="1" customWidth="1"/>
    <col min="92" max="92" width="10.00390625" style="0" hidden="1" customWidth="1"/>
    <col min="93" max="96" width="0" style="0" hidden="1" customWidth="1"/>
    <col min="97" max="97" width="9.28125" style="0" hidden="1" customWidth="1"/>
    <col min="98" max="98" width="12.7109375" style="0" hidden="1" customWidth="1"/>
    <col min="99" max="99" width="10.00390625" style="0" hidden="1" customWidth="1"/>
    <col min="100" max="103" width="0" style="0" hidden="1" customWidth="1"/>
    <col min="104" max="104" width="9.28125" style="0" hidden="1" customWidth="1"/>
    <col min="105" max="105" width="12.7109375" style="0" hidden="1" customWidth="1"/>
    <col min="106" max="106" width="10.00390625" style="0" hidden="1" customWidth="1"/>
    <col min="107" max="110" width="0" style="0" hidden="1" customWidth="1"/>
    <col min="111" max="111" width="9.28125" style="0" hidden="1" customWidth="1"/>
    <col min="112" max="112" width="12.7109375" style="0" hidden="1" customWidth="1"/>
    <col min="113" max="113" width="10.00390625" style="0" hidden="1" customWidth="1"/>
    <col min="114" max="117" width="0" style="0" hidden="1" customWidth="1"/>
    <col min="118" max="118" width="9.28125" style="0" hidden="1" customWidth="1"/>
    <col min="119" max="119" width="12.7109375" style="0" hidden="1" customWidth="1"/>
    <col min="120" max="120" width="10.8515625" style="0" hidden="1" customWidth="1"/>
    <col min="121" max="121" width="11.00390625" style="0" hidden="1" customWidth="1"/>
    <col min="122" max="124" width="0" style="0" hidden="1" customWidth="1"/>
    <col min="125" max="125" width="13.140625" style="0" hidden="1" customWidth="1"/>
    <col min="126" max="126" width="12.7109375" style="0" hidden="1" customWidth="1"/>
    <col min="127" max="127" width="10.8515625" style="0" hidden="1" customWidth="1"/>
    <col min="128" max="128" width="11.00390625" style="0" hidden="1" customWidth="1"/>
    <col min="129" max="131" width="0" style="0" hidden="1" customWidth="1"/>
    <col min="132" max="132" width="13.140625" style="0" hidden="1" customWidth="1"/>
    <col min="133" max="133" width="18.28125" style="0" customWidth="1"/>
    <col min="135" max="135" width="15.57421875" style="0" customWidth="1"/>
    <col min="136" max="136" width="15.140625" style="0" customWidth="1"/>
    <col min="137" max="137" width="14.28125" style="0" customWidth="1"/>
    <col min="138" max="138" width="21.28125" style="0" customWidth="1"/>
    <col min="139" max="139" width="19.140625" style="44" customWidth="1"/>
    <col min="144" max="144" width="3.8515625" style="0" customWidth="1"/>
    <col min="145" max="145" width="12.8515625" style="0" customWidth="1"/>
  </cols>
  <sheetData>
    <row r="1" ht="12.75">
      <c r="A1" s="18" t="s">
        <v>60</v>
      </c>
    </row>
    <row r="2" ht="13.5" thickBot="1"/>
    <row r="3" spans="2:139" s="24" customFormat="1" ht="237" thickBot="1">
      <c r="B3" s="25">
        <v>39264</v>
      </c>
      <c r="C3" s="26" t="s">
        <v>86</v>
      </c>
      <c r="D3" s="27" t="s">
        <v>87</v>
      </c>
      <c r="E3" s="27" t="s">
        <v>27</v>
      </c>
      <c r="F3" s="28" t="s">
        <v>88</v>
      </c>
      <c r="G3" s="25">
        <v>39416</v>
      </c>
      <c r="H3" s="26" t="s">
        <v>86</v>
      </c>
      <c r="I3" s="27" t="s">
        <v>87</v>
      </c>
      <c r="J3" s="27" t="s">
        <v>27</v>
      </c>
      <c r="K3" s="28" t="s">
        <v>88</v>
      </c>
      <c r="L3" s="25">
        <v>39447</v>
      </c>
      <c r="M3" s="26" t="s">
        <v>86</v>
      </c>
      <c r="N3" s="27" t="s">
        <v>87</v>
      </c>
      <c r="O3" s="27" t="s">
        <v>27</v>
      </c>
      <c r="P3" s="28" t="s">
        <v>88</v>
      </c>
      <c r="Q3" s="25">
        <v>39478</v>
      </c>
      <c r="R3" s="26" t="s">
        <v>86</v>
      </c>
      <c r="S3" s="27" t="s">
        <v>87</v>
      </c>
      <c r="T3" s="27" t="s">
        <v>27</v>
      </c>
      <c r="U3" s="28" t="s">
        <v>88</v>
      </c>
      <c r="V3" s="25">
        <v>39507</v>
      </c>
      <c r="W3" s="26" t="s">
        <v>86</v>
      </c>
      <c r="X3" s="27" t="s">
        <v>87</v>
      </c>
      <c r="Y3" s="27" t="s">
        <v>27</v>
      </c>
      <c r="Z3" s="28" t="s">
        <v>88</v>
      </c>
      <c r="AA3" s="25">
        <v>39538</v>
      </c>
      <c r="AB3" s="26" t="s">
        <v>86</v>
      </c>
      <c r="AC3" s="27" t="s">
        <v>87</v>
      </c>
      <c r="AD3" s="27" t="s">
        <v>27</v>
      </c>
      <c r="AE3" s="28" t="s">
        <v>88</v>
      </c>
      <c r="AF3" s="25">
        <v>39568</v>
      </c>
      <c r="AG3" s="42" t="s">
        <v>93</v>
      </c>
      <c r="AH3" s="27" t="s">
        <v>87</v>
      </c>
      <c r="AI3" s="27" t="s">
        <v>27</v>
      </c>
      <c r="AJ3" s="41" t="s">
        <v>86</v>
      </c>
      <c r="AK3" s="28" t="s">
        <v>88</v>
      </c>
      <c r="AL3" s="25">
        <v>39599</v>
      </c>
      <c r="AM3" s="42" t="s">
        <v>93</v>
      </c>
      <c r="AN3" s="27" t="s">
        <v>87</v>
      </c>
      <c r="AO3" s="27" t="s">
        <v>27</v>
      </c>
      <c r="AP3" s="41" t="s">
        <v>86</v>
      </c>
      <c r="AQ3" s="28" t="s">
        <v>88</v>
      </c>
      <c r="AR3" s="25">
        <v>39629</v>
      </c>
      <c r="AS3" s="42" t="s">
        <v>93</v>
      </c>
      <c r="AT3" s="27" t="s">
        <v>87</v>
      </c>
      <c r="AU3" s="27" t="s">
        <v>27</v>
      </c>
      <c r="AV3" s="41" t="s">
        <v>86</v>
      </c>
      <c r="AW3" s="28" t="s">
        <v>88</v>
      </c>
      <c r="AX3" s="25">
        <v>39660</v>
      </c>
      <c r="AY3" s="42" t="s">
        <v>93</v>
      </c>
      <c r="AZ3" s="27" t="s">
        <v>87</v>
      </c>
      <c r="BA3" s="27" t="s">
        <v>27</v>
      </c>
      <c r="BB3" s="41" t="s">
        <v>86</v>
      </c>
      <c r="BC3" s="28" t="s">
        <v>88</v>
      </c>
      <c r="BD3" s="25">
        <v>39691</v>
      </c>
      <c r="BE3" s="42" t="s">
        <v>93</v>
      </c>
      <c r="BF3" s="27" t="s">
        <v>87</v>
      </c>
      <c r="BG3" s="27" t="s">
        <v>27</v>
      </c>
      <c r="BH3" s="41" t="s">
        <v>86</v>
      </c>
      <c r="BI3" s="28" t="s">
        <v>88</v>
      </c>
      <c r="BJ3" s="25">
        <v>39721</v>
      </c>
      <c r="BK3" s="48" t="s">
        <v>93</v>
      </c>
      <c r="BL3" s="49" t="s">
        <v>87</v>
      </c>
      <c r="BM3" s="49" t="s">
        <v>27</v>
      </c>
      <c r="BN3" s="50" t="s">
        <v>86</v>
      </c>
      <c r="BO3" s="51" t="s">
        <v>88</v>
      </c>
      <c r="BP3" s="52" t="s">
        <v>105</v>
      </c>
      <c r="BQ3" s="47">
        <v>39752</v>
      </c>
      <c r="BR3" s="48" t="s">
        <v>93</v>
      </c>
      <c r="BS3" s="49" t="s">
        <v>87</v>
      </c>
      <c r="BT3" s="49" t="s">
        <v>27</v>
      </c>
      <c r="BU3" s="50" t="s">
        <v>86</v>
      </c>
      <c r="BV3" s="51" t="s">
        <v>88</v>
      </c>
      <c r="BW3" s="52" t="s">
        <v>105</v>
      </c>
      <c r="BX3" s="47">
        <v>39782</v>
      </c>
      <c r="BY3" s="48" t="s">
        <v>93</v>
      </c>
      <c r="BZ3" s="49" t="s">
        <v>87</v>
      </c>
      <c r="CA3" s="49" t="s">
        <v>27</v>
      </c>
      <c r="CB3" s="50" t="s">
        <v>86</v>
      </c>
      <c r="CC3" s="51" t="s">
        <v>88</v>
      </c>
      <c r="CD3" s="52" t="s">
        <v>105</v>
      </c>
      <c r="CE3" s="47">
        <v>39813</v>
      </c>
      <c r="CF3" s="48" t="s">
        <v>93</v>
      </c>
      <c r="CG3" s="49" t="s">
        <v>87</v>
      </c>
      <c r="CH3" s="49" t="s">
        <v>27</v>
      </c>
      <c r="CI3" s="50" t="s">
        <v>86</v>
      </c>
      <c r="CJ3" s="51" t="s">
        <v>88</v>
      </c>
      <c r="CK3" s="52" t="s">
        <v>105</v>
      </c>
      <c r="CL3" s="47">
        <v>39844</v>
      </c>
      <c r="CM3" s="48" t="s">
        <v>93</v>
      </c>
      <c r="CN3" s="49" t="s">
        <v>87</v>
      </c>
      <c r="CO3" s="49" t="s">
        <v>27</v>
      </c>
      <c r="CP3" s="50" t="s">
        <v>86</v>
      </c>
      <c r="CQ3" s="51" t="s">
        <v>88</v>
      </c>
      <c r="CR3" s="52" t="s">
        <v>105</v>
      </c>
      <c r="CS3" s="47">
        <v>39872</v>
      </c>
      <c r="CT3" s="48" t="s">
        <v>93</v>
      </c>
      <c r="CU3" s="49" t="s">
        <v>87</v>
      </c>
      <c r="CV3" s="49" t="s">
        <v>27</v>
      </c>
      <c r="CW3" s="50" t="s">
        <v>86</v>
      </c>
      <c r="CX3" s="51" t="s">
        <v>88</v>
      </c>
      <c r="CY3" s="52" t="s">
        <v>105</v>
      </c>
      <c r="CZ3" s="47">
        <v>39903</v>
      </c>
      <c r="DA3" s="48" t="s">
        <v>93</v>
      </c>
      <c r="DB3" s="49" t="s">
        <v>87</v>
      </c>
      <c r="DC3" s="49" t="s">
        <v>27</v>
      </c>
      <c r="DD3" s="50" t="s">
        <v>86</v>
      </c>
      <c r="DE3" s="51" t="s">
        <v>88</v>
      </c>
      <c r="DF3" s="52" t="s">
        <v>105</v>
      </c>
      <c r="DG3" s="47">
        <v>39933</v>
      </c>
      <c r="DH3" s="48" t="s">
        <v>93</v>
      </c>
      <c r="DI3" s="49" t="s">
        <v>87</v>
      </c>
      <c r="DJ3" s="49" t="s">
        <v>27</v>
      </c>
      <c r="DK3" s="50" t="s">
        <v>86</v>
      </c>
      <c r="DL3" s="51" t="s">
        <v>88</v>
      </c>
      <c r="DM3" s="52" t="s">
        <v>105</v>
      </c>
      <c r="DN3" s="53">
        <v>39964</v>
      </c>
      <c r="DO3" s="48" t="s">
        <v>93</v>
      </c>
      <c r="DP3" s="49" t="s">
        <v>87</v>
      </c>
      <c r="DQ3" s="49" t="s">
        <v>27</v>
      </c>
      <c r="DR3" s="50" t="s">
        <v>86</v>
      </c>
      <c r="DS3" s="51" t="s">
        <v>88</v>
      </c>
      <c r="DT3" s="52" t="s">
        <v>105</v>
      </c>
      <c r="DU3" s="53">
        <v>39994</v>
      </c>
      <c r="DV3" s="48" t="s">
        <v>93</v>
      </c>
      <c r="DW3" s="49" t="s">
        <v>87</v>
      </c>
      <c r="DX3" s="49" t="s">
        <v>27</v>
      </c>
      <c r="DY3" s="50" t="s">
        <v>86</v>
      </c>
      <c r="DZ3" s="51" t="s">
        <v>88</v>
      </c>
      <c r="EA3" s="52" t="s">
        <v>105</v>
      </c>
      <c r="EB3" s="53">
        <v>40025</v>
      </c>
      <c r="EI3" s="251"/>
    </row>
    <row r="4" spans="1:132" ht="12.75">
      <c r="A4" s="29"/>
      <c r="B4" s="29"/>
      <c r="C4" s="29"/>
      <c r="D4" s="29"/>
      <c r="E4" s="29"/>
      <c r="F4" s="29"/>
      <c r="G4" s="33"/>
      <c r="H4" s="29"/>
      <c r="I4" s="29"/>
      <c r="J4" s="29"/>
      <c r="K4" s="29"/>
      <c r="L4" s="33"/>
      <c r="M4" s="29"/>
      <c r="N4" s="29"/>
      <c r="O4" s="29"/>
      <c r="P4" s="29"/>
      <c r="Q4" s="33"/>
      <c r="R4" s="29"/>
      <c r="S4" s="29"/>
      <c r="T4" s="29"/>
      <c r="U4" s="29"/>
      <c r="V4" s="33"/>
      <c r="W4" s="29"/>
      <c r="X4" s="29"/>
      <c r="Y4" s="29"/>
      <c r="Z4" s="29"/>
      <c r="AA4" s="33"/>
      <c r="AB4" s="29"/>
      <c r="AC4" s="29"/>
      <c r="AD4" s="29"/>
      <c r="AE4" s="29"/>
      <c r="AF4" s="33"/>
      <c r="AG4" s="29"/>
      <c r="AH4" s="29"/>
      <c r="AI4" s="29"/>
      <c r="AJ4" s="29"/>
      <c r="AK4" s="29"/>
      <c r="AL4" s="33"/>
      <c r="AM4" s="29"/>
      <c r="AN4" s="29"/>
      <c r="AO4" s="29"/>
      <c r="AP4" s="29"/>
      <c r="AQ4" s="29"/>
      <c r="AR4" s="33"/>
      <c r="AS4" s="29"/>
      <c r="AT4" s="29"/>
      <c r="AU4" s="29"/>
      <c r="AV4" s="29"/>
      <c r="AW4" s="29"/>
      <c r="AX4" s="33"/>
      <c r="AY4" s="29"/>
      <c r="AZ4" s="29"/>
      <c r="BA4" s="29"/>
      <c r="BB4" s="29"/>
      <c r="BC4" s="29"/>
      <c r="BD4" s="33"/>
      <c r="BE4" s="29"/>
      <c r="BF4" s="29"/>
      <c r="BG4" s="29"/>
      <c r="BH4" s="29"/>
      <c r="BI4" s="29"/>
      <c r="BJ4" s="33"/>
      <c r="BK4" s="29"/>
      <c r="BL4" s="29"/>
      <c r="BM4" s="29"/>
      <c r="BN4" s="29"/>
      <c r="BO4" s="29"/>
      <c r="BP4" s="29"/>
      <c r="BQ4" s="34"/>
      <c r="BR4" s="29"/>
      <c r="BS4" s="29"/>
      <c r="BT4" s="29"/>
      <c r="BU4" s="29"/>
      <c r="BV4" s="29"/>
      <c r="BW4" s="29"/>
      <c r="BX4" s="34"/>
      <c r="BY4" s="29"/>
      <c r="BZ4" s="29"/>
      <c r="CA4" s="29"/>
      <c r="CB4" s="29"/>
      <c r="CC4" s="29"/>
      <c r="CD4" s="29"/>
      <c r="CE4" s="34"/>
      <c r="CF4" s="29"/>
      <c r="CG4" s="29"/>
      <c r="CH4" s="29"/>
      <c r="CI4" s="29"/>
      <c r="CJ4" s="29"/>
      <c r="CK4" s="29"/>
      <c r="CL4" s="34"/>
      <c r="CM4" s="29"/>
      <c r="CN4" s="29"/>
      <c r="CO4" s="29"/>
      <c r="CP4" s="29"/>
      <c r="CQ4" s="29"/>
      <c r="CR4" s="29"/>
      <c r="CS4" s="34"/>
      <c r="CT4" s="29"/>
      <c r="CU4" s="29"/>
      <c r="CV4" s="29"/>
      <c r="CW4" s="29"/>
      <c r="CX4" s="29"/>
      <c r="CY4" s="29"/>
      <c r="CZ4" s="34"/>
      <c r="DA4" s="29"/>
      <c r="DB4" s="29"/>
      <c r="DC4" s="29"/>
      <c r="DD4" s="29"/>
      <c r="DE4" s="29"/>
      <c r="DF4" s="29"/>
      <c r="DG4" s="34"/>
      <c r="DH4" s="29"/>
      <c r="DI4" s="29"/>
      <c r="DJ4" s="29"/>
      <c r="DK4" s="29"/>
      <c r="DL4" s="29"/>
      <c r="DM4" s="29"/>
      <c r="DN4" s="34"/>
      <c r="DO4" s="29"/>
      <c r="DP4" s="29"/>
      <c r="DQ4" s="29"/>
      <c r="DR4" s="29"/>
      <c r="DS4" s="29"/>
      <c r="DT4" s="29"/>
      <c r="DU4" s="34"/>
      <c r="DV4" s="29"/>
      <c r="DW4" s="29"/>
      <c r="DX4" s="29"/>
      <c r="DY4" s="29"/>
      <c r="DZ4" s="29"/>
      <c r="EA4" s="29"/>
      <c r="EB4" s="34"/>
    </row>
    <row r="5" spans="1:132" ht="12.75">
      <c r="A5" s="29" t="s">
        <v>83</v>
      </c>
      <c r="B5" s="29">
        <v>15734751.39</v>
      </c>
      <c r="C5" s="29"/>
      <c r="D5" s="29"/>
      <c r="E5" s="29"/>
      <c r="F5" s="29"/>
      <c r="G5" s="34"/>
      <c r="H5" s="29"/>
      <c r="I5" s="29"/>
      <c r="J5" s="29"/>
      <c r="K5" s="29"/>
      <c r="L5" s="34"/>
      <c r="M5" s="29"/>
      <c r="N5" s="29"/>
      <c r="O5" s="29"/>
      <c r="P5" s="29"/>
      <c r="Q5" s="34"/>
      <c r="R5" s="29"/>
      <c r="S5" s="29"/>
      <c r="T5" s="29"/>
      <c r="U5" s="29"/>
      <c r="V5" s="34"/>
      <c r="W5" s="29"/>
      <c r="X5" s="29"/>
      <c r="Y5" s="29"/>
      <c r="Z5" s="29"/>
      <c r="AA5" s="34"/>
      <c r="AB5" s="29"/>
      <c r="AC5" s="29"/>
      <c r="AD5" s="29"/>
      <c r="AE5" s="29"/>
      <c r="AF5" s="34"/>
      <c r="AG5" s="29"/>
      <c r="AH5" s="29"/>
      <c r="AI5" s="29"/>
      <c r="AJ5" s="29"/>
      <c r="AK5" s="29"/>
      <c r="AL5" s="34"/>
      <c r="AM5" s="29"/>
      <c r="AN5" s="29"/>
      <c r="AO5" s="29"/>
      <c r="AP5" s="29"/>
      <c r="AQ5" s="29"/>
      <c r="AR5" s="34"/>
      <c r="AS5" s="29"/>
      <c r="AT5" s="29"/>
      <c r="AU5" s="29"/>
      <c r="AV5" s="29"/>
      <c r="AW5" s="29"/>
      <c r="AX5" s="34"/>
      <c r="AY5" s="29"/>
      <c r="AZ5" s="29"/>
      <c r="BA5" s="29"/>
      <c r="BB5" s="29"/>
      <c r="BC5" s="29"/>
      <c r="BD5" s="34"/>
      <c r="BE5" s="29"/>
      <c r="BF5" s="29"/>
      <c r="BG5" s="29"/>
      <c r="BH5" s="29"/>
      <c r="BI5" s="29"/>
      <c r="BJ5" s="34"/>
      <c r="BK5" s="29"/>
      <c r="BL5" s="29"/>
      <c r="BM5" s="29"/>
      <c r="BN5" s="29"/>
      <c r="BO5" s="29"/>
      <c r="BP5" s="29"/>
      <c r="BQ5" s="34"/>
      <c r="BR5" s="29"/>
      <c r="BS5" s="29"/>
      <c r="BT5" s="29"/>
      <c r="BU5" s="29"/>
      <c r="BV5" s="29"/>
      <c r="BW5" s="29"/>
      <c r="BX5" s="34"/>
      <c r="BY5" s="29"/>
      <c r="BZ5" s="29"/>
      <c r="CA5" s="29"/>
      <c r="CB5" s="29"/>
      <c r="CC5" s="29"/>
      <c r="CD5" s="29"/>
      <c r="CE5" s="34"/>
      <c r="CF5" s="29"/>
      <c r="CG5" s="29"/>
      <c r="CH5" s="29"/>
      <c r="CI5" s="29"/>
      <c r="CJ5" s="29"/>
      <c r="CK5" s="29"/>
      <c r="CL5" s="34"/>
      <c r="CM5" s="29"/>
      <c r="CN5" s="29"/>
      <c r="CO5" s="29"/>
      <c r="CP5" s="29"/>
      <c r="CQ5" s="29"/>
      <c r="CR5" s="29"/>
      <c r="CS5" s="34"/>
      <c r="CT5" s="29"/>
      <c r="CU5" s="29"/>
      <c r="CV5" s="29"/>
      <c r="CW5" s="29"/>
      <c r="CX5" s="29"/>
      <c r="CY5" s="29"/>
      <c r="CZ5" s="34"/>
      <c r="DA5" s="29"/>
      <c r="DB5" s="29"/>
      <c r="DC5" s="29"/>
      <c r="DD5" s="29"/>
      <c r="DE5" s="29"/>
      <c r="DF5" s="29"/>
      <c r="DG5" s="34"/>
      <c r="DH5" s="29"/>
      <c r="DI5" s="29"/>
      <c r="DJ5" s="29"/>
      <c r="DK5" s="29"/>
      <c r="DL5" s="29"/>
      <c r="DM5" s="29"/>
      <c r="DN5" s="34"/>
      <c r="DO5" s="29"/>
      <c r="DP5" s="29"/>
      <c r="DQ5" s="29"/>
      <c r="DR5" s="29"/>
      <c r="DS5" s="29"/>
      <c r="DT5" s="29"/>
      <c r="DU5" s="34"/>
      <c r="DV5" s="29"/>
      <c r="DW5" s="29"/>
      <c r="DX5" s="29"/>
      <c r="DY5" s="29"/>
      <c r="DZ5" s="29"/>
      <c r="EA5" s="29"/>
      <c r="EB5" s="34"/>
    </row>
    <row r="6" spans="1:132" ht="12.75">
      <c r="A6" s="29" t="s">
        <v>84</v>
      </c>
      <c r="B6" s="29">
        <v>1930615.99</v>
      </c>
      <c r="C6" s="29"/>
      <c r="D6" s="29"/>
      <c r="E6" s="29"/>
      <c r="F6" s="29"/>
      <c r="G6" s="34"/>
      <c r="H6" s="29"/>
      <c r="I6" s="29"/>
      <c r="J6" s="29"/>
      <c r="K6" s="29"/>
      <c r="L6" s="34"/>
      <c r="M6" s="29"/>
      <c r="N6" s="29"/>
      <c r="O6" s="29"/>
      <c r="P6" s="29"/>
      <c r="Q6" s="34"/>
      <c r="R6" s="29"/>
      <c r="S6" s="29"/>
      <c r="T6" s="29"/>
      <c r="U6" s="29"/>
      <c r="V6" s="34"/>
      <c r="W6" s="29"/>
      <c r="X6" s="29"/>
      <c r="Y6" s="29"/>
      <c r="Z6" s="29"/>
      <c r="AA6" s="34"/>
      <c r="AB6" s="29"/>
      <c r="AC6" s="29"/>
      <c r="AD6" s="29"/>
      <c r="AE6" s="29"/>
      <c r="AF6" s="34"/>
      <c r="AG6" s="29"/>
      <c r="AH6" s="29"/>
      <c r="AI6" s="29"/>
      <c r="AJ6" s="29"/>
      <c r="AK6" s="29"/>
      <c r="AL6" s="34"/>
      <c r="AM6" s="29"/>
      <c r="AN6" s="29"/>
      <c r="AO6" s="29"/>
      <c r="AP6" s="29"/>
      <c r="AQ6" s="29"/>
      <c r="AR6" s="34"/>
      <c r="AS6" s="29"/>
      <c r="AT6" s="29"/>
      <c r="AU6" s="29"/>
      <c r="AV6" s="29"/>
      <c r="AW6" s="29"/>
      <c r="AX6" s="34"/>
      <c r="AY6" s="29"/>
      <c r="AZ6" s="29"/>
      <c r="BA6" s="29"/>
      <c r="BB6" s="29"/>
      <c r="BC6" s="29"/>
      <c r="BD6" s="34"/>
      <c r="BE6" s="29"/>
      <c r="BF6" s="29"/>
      <c r="BG6" s="29"/>
      <c r="BH6" s="29"/>
      <c r="BI6" s="29"/>
      <c r="BJ6" s="34"/>
      <c r="BK6" s="29"/>
      <c r="BL6" s="29"/>
      <c r="BM6" s="29"/>
      <c r="BN6" s="29"/>
      <c r="BO6" s="29"/>
      <c r="BP6" s="29"/>
      <c r="BQ6" s="34"/>
      <c r="BR6" s="29"/>
      <c r="BS6" s="29"/>
      <c r="BT6" s="29"/>
      <c r="BU6" s="29"/>
      <c r="BV6" s="29"/>
      <c r="BW6" s="29"/>
      <c r="BX6" s="34"/>
      <c r="BY6" s="29"/>
      <c r="BZ6" s="29"/>
      <c r="CA6" s="29"/>
      <c r="CB6" s="29"/>
      <c r="CC6" s="29"/>
      <c r="CD6" s="29"/>
      <c r="CE6" s="34"/>
      <c r="CF6" s="29"/>
      <c r="CG6" s="29"/>
      <c r="CH6" s="29"/>
      <c r="CI6" s="29"/>
      <c r="CJ6" s="29"/>
      <c r="CK6" s="29"/>
      <c r="CL6" s="34"/>
      <c r="CM6" s="29"/>
      <c r="CN6" s="29"/>
      <c r="CO6" s="29"/>
      <c r="CP6" s="29"/>
      <c r="CQ6" s="29"/>
      <c r="CR6" s="29"/>
      <c r="CS6" s="34"/>
      <c r="CT6" s="29"/>
      <c r="CU6" s="29"/>
      <c r="CV6" s="29"/>
      <c r="CW6" s="29"/>
      <c r="CX6" s="29"/>
      <c r="CY6" s="29"/>
      <c r="CZ6" s="34"/>
      <c r="DA6" s="29"/>
      <c r="DB6" s="29"/>
      <c r="DC6" s="29"/>
      <c r="DD6" s="29"/>
      <c r="DE6" s="29"/>
      <c r="DF6" s="29"/>
      <c r="DG6" s="34"/>
      <c r="DH6" s="29"/>
      <c r="DI6" s="29"/>
      <c r="DJ6" s="29"/>
      <c r="DK6" s="29"/>
      <c r="DL6" s="29"/>
      <c r="DM6" s="29"/>
      <c r="DN6" s="34"/>
      <c r="DO6" s="29"/>
      <c r="DP6" s="29"/>
      <c r="DQ6" s="29"/>
      <c r="DR6" s="29"/>
      <c r="DS6" s="29"/>
      <c r="DT6" s="29"/>
      <c r="DU6" s="34"/>
      <c r="DV6" s="29"/>
      <c r="DW6" s="29"/>
      <c r="DX6" s="29"/>
      <c r="DY6" s="29"/>
      <c r="DZ6" s="29"/>
      <c r="EA6" s="29"/>
      <c r="EB6" s="34"/>
    </row>
    <row r="7" spans="1:132" ht="12.75">
      <c r="A7" s="29" t="s">
        <v>85</v>
      </c>
      <c r="B7" s="29">
        <v>1762608.47</v>
      </c>
      <c r="C7" s="29"/>
      <c r="D7" s="29"/>
      <c r="E7" s="29"/>
      <c r="F7" s="29"/>
      <c r="G7" s="34"/>
      <c r="H7" s="29"/>
      <c r="I7" s="29"/>
      <c r="J7" s="29"/>
      <c r="K7" s="29"/>
      <c r="L7" s="34"/>
      <c r="M7" s="29"/>
      <c r="N7" s="29"/>
      <c r="O7" s="29"/>
      <c r="P7" s="29"/>
      <c r="Q7" s="34"/>
      <c r="R7" s="29"/>
      <c r="S7" s="29"/>
      <c r="T7" s="29"/>
      <c r="U7" s="29"/>
      <c r="V7" s="34"/>
      <c r="W7" s="29"/>
      <c r="X7" s="29"/>
      <c r="Y7" s="29"/>
      <c r="Z7" s="29"/>
      <c r="AA7" s="34"/>
      <c r="AB7" s="29"/>
      <c r="AC7" s="29"/>
      <c r="AD7" s="29"/>
      <c r="AE7" s="29"/>
      <c r="AF7" s="34"/>
      <c r="AG7" s="29"/>
      <c r="AH7" s="29"/>
      <c r="AI7" s="29"/>
      <c r="AJ7" s="29"/>
      <c r="AK7" s="29"/>
      <c r="AL7" s="34"/>
      <c r="AM7" s="29"/>
      <c r="AN7" s="29"/>
      <c r="AO7" s="29"/>
      <c r="AP7" s="29"/>
      <c r="AQ7" s="29"/>
      <c r="AR7" s="34"/>
      <c r="AS7" s="29"/>
      <c r="AT7" s="29"/>
      <c r="AU7" s="29"/>
      <c r="AV7" s="29"/>
      <c r="AW7" s="29"/>
      <c r="AX7" s="34"/>
      <c r="AY7" s="29"/>
      <c r="AZ7" s="29"/>
      <c r="BA7" s="29"/>
      <c r="BB7" s="29"/>
      <c r="BC7" s="29"/>
      <c r="BD7" s="34"/>
      <c r="BE7" s="29"/>
      <c r="BF7" s="29"/>
      <c r="BG7" s="29"/>
      <c r="BH7" s="29"/>
      <c r="BI7" s="29"/>
      <c r="BJ7" s="34"/>
      <c r="BK7" s="29"/>
      <c r="BL7" s="29"/>
      <c r="BM7" s="29"/>
      <c r="BN7" s="29"/>
      <c r="BO7" s="29"/>
      <c r="BP7" s="29"/>
      <c r="BQ7" s="34"/>
      <c r="BR7" s="29"/>
      <c r="BS7" s="29"/>
      <c r="BT7" s="29"/>
      <c r="BU7" s="29"/>
      <c r="BV7" s="29"/>
      <c r="BW7" s="29"/>
      <c r="BX7" s="34"/>
      <c r="BY7" s="29"/>
      <c r="BZ7" s="29"/>
      <c r="CA7" s="29"/>
      <c r="CB7" s="29"/>
      <c r="CC7" s="29"/>
      <c r="CD7" s="29"/>
      <c r="CE7" s="34"/>
      <c r="CF7" s="29"/>
      <c r="CG7" s="29"/>
      <c r="CH7" s="29"/>
      <c r="CI7" s="29"/>
      <c r="CJ7" s="29"/>
      <c r="CK7" s="29"/>
      <c r="CL7" s="34"/>
      <c r="CM7" s="29"/>
      <c r="CN7" s="29"/>
      <c r="CO7" s="29"/>
      <c r="CP7" s="29"/>
      <c r="CQ7" s="29"/>
      <c r="CR7" s="29"/>
      <c r="CS7" s="34"/>
      <c r="CT7" s="29"/>
      <c r="CU7" s="29"/>
      <c r="CV7" s="29"/>
      <c r="CW7" s="29"/>
      <c r="CX7" s="29"/>
      <c r="CY7" s="29"/>
      <c r="CZ7" s="34"/>
      <c r="DA7" s="29"/>
      <c r="DB7" s="29"/>
      <c r="DC7" s="29"/>
      <c r="DD7" s="29"/>
      <c r="DE7" s="29"/>
      <c r="DF7" s="29"/>
      <c r="DG7" s="34"/>
      <c r="DH7" s="29"/>
      <c r="DI7" s="29"/>
      <c r="DJ7" s="29"/>
      <c r="DK7" s="29"/>
      <c r="DL7" s="29"/>
      <c r="DM7" s="29"/>
      <c r="DN7" s="34"/>
      <c r="DO7" s="29"/>
      <c r="DP7" s="29"/>
      <c r="DQ7" s="29"/>
      <c r="DR7" s="29"/>
      <c r="DS7" s="29"/>
      <c r="DT7" s="29"/>
      <c r="DU7" s="34"/>
      <c r="DV7" s="29"/>
      <c r="DW7" s="29"/>
      <c r="DX7" s="29"/>
      <c r="DY7" s="29"/>
      <c r="DZ7" s="29"/>
      <c r="EA7" s="29"/>
      <c r="EB7" s="34"/>
    </row>
    <row r="8" spans="1:132" ht="12.75">
      <c r="A8" s="29" t="s">
        <v>112</v>
      </c>
      <c r="B8" s="29"/>
      <c r="C8" s="29"/>
      <c r="D8" s="29"/>
      <c r="E8" s="29"/>
      <c r="F8" s="29"/>
      <c r="G8" s="34"/>
      <c r="H8" s="29"/>
      <c r="I8" s="29"/>
      <c r="J8" s="29"/>
      <c r="K8" s="29"/>
      <c r="L8" s="34"/>
      <c r="M8" s="29"/>
      <c r="N8" s="29"/>
      <c r="O8" s="29"/>
      <c r="P8" s="29"/>
      <c r="Q8" s="34"/>
      <c r="R8" s="29"/>
      <c r="S8" s="29"/>
      <c r="T8" s="29"/>
      <c r="U8" s="29"/>
      <c r="V8" s="34"/>
      <c r="W8" s="29"/>
      <c r="X8" s="29"/>
      <c r="Y8" s="29"/>
      <c r="Z8" s="29"/>
      <c r="AA8" s="34"/>
      <c r="AB8" s="29"/>
      <c r="AC8" s="29"/>
      <c r="AD8" s="29"/>
      <c r="AE8" s="29"/>
      <c r="AF8" s="34"/>
      <c r="AG8" s="29"/>
      <c r="AH8" s="29"/>
      <c r="AI8" s="29"/>
      <c r="AJ8" s="29"/>
      <c r="AK8" s="29"/>
      <c r="AL8" s="34"/>
      <c r="AM8" s="29"/>
      <c r="AN8" s="29"/>
      <c r="AO8" s="29"/>
      <c r="AP8" s="29"/>
      <c r="AQ8" s="29"/>
      <c r="AR8" s="34"/>
      <c r="AS8" s="29"/>
      <c r="AT8" s="29"/>
      <c r="AU8" s="29"/>
      <c r="AV8" s="29"/>
      <c r="AW8" s="29"/>
      <c r="AX8" s="34"/>
      <c r="AY8" s="29"/>
      <c r="AZ8" s="29"/>
      <c r="BA8" s="29"/>
      <c r="BB8" s="29"/>
      <c r="BC8" s="29"/>
      <c r="BD8" s="34"/>
      <c r="BE8" s="29"/>
      <c r="BF8" s="29"/>
      <c r="BG8" s="29"/>
      <c r="BH8" s="29"/>
      <c r="BI8" s="29"/>
      <c r="BJ8" s="34"/>
      <c r="BK8" s="29"/>
      <c r="BL8" s="29"/>
      <c r="BM8" s="29"/>
      <c r="BN8" s="29"/>
      <c r="BO8" s="29"/>
      <c r="BP8" s="29"/>
      <c r="BQ8" s="34"/>
      <c r="BR8" s="29"/>
      <c r="BS8" s="29"/>
      <c r="BT8" s="29"/>
      <c r="BU8" s="29"/>
      <c r="BV8" s="29"/>
      <c r="BW8" s="29"/>
      <c r="BX8" s="34"/>
      <c r="BY8" s="29"/>
      <c r="BZ8" s="29"/>
      <c r="CA8" s="29"/>
      <c r="CB8" s="29"/>
      <c r="CC8" s="29"/>
      <c r="CD8" s="29"/>
      <c r="CE8" s="34"/>
      <c r="CF8" s="29"/>
      <c r="CG8" s="29"/>
      <c r="CH8" s="29"/>
      <c r="CI8" s="29"/>
      <c r="CJ8" s="29"/>
      <c r="CK8" s="29"/>
      <c r="CL8" s="34"/>
      <c r="CM8" s="29"/>
      <c r="CN8" s="29"/>
      <c r="CO8" s="29"/>
      <c r="CP8" s="29"/>
      <c r="CQ8" s="29"/>
      <c r="CR8" s="29"/>
      <c r="CS8" s="34"/>
      <c r="CT8" s="29"/>
      <c r="CU8" s="29"/>
      <c r="CV8" s="29"/>
      <c r="CW8" s="29"/>
      <c r="CX8" s="29"/>
      <c r="CY8" s="29"/>
      <c r="CZ8" s="34"/>
      <c r="DA8" s="29"/>
      <c r="DB8" s="29"/>
      <c r="DC8" s="29"/>
      <c r="DD8" s="29"/>
      <c r="DE8" s="29"/>
      <c r="DF8" s="29"/>
      <c r="DG8" s="34"/>
      <c r="DH8" s="29"/>
      <c r="DI8" s="29"/>
      <c r="DJ8" s="29"/>
      <c r="DK8" s="29"/>
      <c r="DL8" s="29"/>
      <c r="DM8" s="29"/>
      <c r="DN8" s="34"/>
      <c r="DO8" s="29"/>
      <c r="DP8" s="29"/>
      <c r="DQ8" s="29"/>
      <c r="DR8" s="29"/>
      <c r="DS8" s="29"/>
      <c r="DT8" s="29"/>
      <c r="DU8" s="34"/>
      <c r="DV8" s="29"/>
      <c r="DW8" s="29"/>
      <c r="DX8" s="29"/>
      <c r="DY8" s="29"/>
      <c r="DZ8" s="29"/>
      <c r="EA8" s="29"/>
      <c r="EB8" s="34"/>
    </row>
    <row r="9" spans="1:139" s="23" customFormat="1" ht="12.75">
      <c r="A9" s="30"/>
      <c r="B9" s="31">
        <f>SUM(B5:B8)</f>
        <v>19427975.849999998</v>
      </c>
      <c r="C9" s="31">
        <v>4205675</v>
      </c>
      <c r="D9" s="31">
        <v>2083333.35</v>
      </c>
      <c r="E9" s="31">
        <v>971398.8</v>
      </c>
      <c r="F9" s="31">
        <v>1891247</v>
      </c>
      <c r="G9" s="35">
        <f>B9+D9+E9+F9-C9</f>
        <v>20168280</v>
      </c>
      <c r="H9" s="31">
        <v>888144</v>
      </c>
      <c r="I9" s="31">
        <f>5000000/12</f>
        <v>416666.6666666667</v>
      </c>
      <c r="J9" s="31">
        <f>19427975.85*12%/12</f>
        <v>194279.7585</v>
      </c>
      <c r="K9" s="31">
        <v>9006</v>
      </c>
      <c r="L9" s="35">
        <f>G9+I9+J9+K9-H9</f>
        <v>19900088.425166667</v>
      </c>
      <c r="M9" s="31">
        <v>327776</v>
      </c>
      <c r="N9" s="31">
        <f>5000000/12</f>
        <v>416666.6666666667</v>
      </c>
      <c r="O9" s="31">
        <f>19427975.85*12%/12</f>
        <v>194279.7585</v>
      </c>
      <c r="P9" s="31">
        <v>-5290</v>
      </c>
      <c r="Q9" s="35">
        <f>L9+N9+O9+P9-M9</f>
        <v>20177968.850333333</v>
      </c>
      <c r="R9" s="31">
        <v>179013</v>
      </c>
      <c r="S9" s="31">
        <f>5000000/12</f>
        <v>416666.6666666667</v>
      </c>
      <c r="T9" s="31">
        <f>19427975.85*12%/12</f>
        <v>194279.7585</v>
      </c>
      <c r="U9" s="31">
        <v>8149</v>
      </c>
      <c r="V9" s="35">
        <f>Q9+S9+T9+U9-R9</f>
        <v>20618051.2755</v>
      </c>
      <c r="W9" s="31">
        <v>736519</v>
      </c>
      <c r="X9" s="31">
        <v>2600108</v>
      </c>
      <c r="Y9" s="31">
        <f>19427975.85*12%/12</f>
        <v>194279.7585</v>
      </c>
      <c r="Z9" s="31">
        <v>0</v>
      </c>
      <c r="AA9" s="40">
        <f>V9+X9+Y9+Z9-W9</f>
        <v>22675920.033999998</v>
      </c>
      <c r="AB9" s="31">
        <v>1130930</v>
      </c>
      <c r="AC9" s="31">
        <v>659271.92</v>
      </c>
      <c r="AD9" s="31">
        <f>19427975.85*12%/12</f>
        <v>194279.7585</v>
      </c>
      <c r="AE9" s="31">
        <v>3380056</v>
      </c>
      <c r="AF9" s="40">
        <f>AA9+AC9+AD9+AE9-AB9</f>
        <v>25778597.7125</v>
      </c>
      <c r="AG9" s="31">
        <v>967071</v>
      </c>
      <c r="AH9" s="31">
        <v>5503465</v>
      </c>
      <c r="AI9" s="31">
        <f>19427975.85*12%/12</f>
        <v>194279.7585</v>
      </c>
      <c r="AJ9" s="31">
        <v>0</v>
      </c>
      <c r="AK9" s="31">
        <v>0</v>
      </c>
      <c r="AL9" s="40">
        <f>AF9+AH9+AI9+AK9-AG9-AJ9</f>
        <v>30509271.470999997</v>
      </c>
      <c r="AM9" s="31">
        <v>11274547</v>
      </c>
      <c r="AN9" s="31">
        <v>9465879</v>
      </c>
      <c r="AO9" s="31">
        <v>250623</v>
      </c>
      <c r="AP9" s="31">
        <v>0</v>
      </c>
      <c r="AQ9" s="31">
        <v>21594</v>
      </c>
      <c r="AR9" s="40">
        <f>AL9+AN9+AO9+AQ9-AM9-AP9</f>
        <v>28972820.471</v>
      </c>
      <c r="AS9" s="31">
        <v>237981</v>
      </c>
      <c r="AT9" s="31">
        <v>649999</v>
      </c>
      <c r="AU9" s="31">
        <v>289728.19</v>
      </c>
      <c r="AV9" s="31">
        <v>0</v>
      </c>
      <c r="AW9" s="31">
        <v>0</v>
      </c>
      <c r="AX9" s="40">
        <f>AR9+AT9+AU9+AW9-AS9-AV9</f>
        <v>29674566.661000002</v>
      </c>
      <c r="AY9" s="31">
        <v>972468</v>
      </c>
      <c r="AZ9" s="31">
        <v>649999</v>
      </c>
      <c r="BA9" s="31">
        <v>289728.19</v>
      </c>
      <c r="BB9" s="31">
        <v>0</v>
      </c>
      <c r="BC9" s="31">
        <v>569</v>
      </c>
      <c r="BD9" s="40">
        <f>AX9+AZ9+BA9+BC9-AY9-BB9</f>
        <v>29642394.851000004</v>
      </c>
      <c r="BE9" s="31">
        <v>2044036</v>
      </c>
      <c r="BF9" s="31">
        <v>649999</v>
      </c>
      <c r="BG9" s="31">
        <v>289728.19</v>
      </c>
      <c r="BH9" s="31">
        <v>0</v>
      </c>
      <c r="BI9" s="31">
        <v>0</v>
      </c>
      <c r="BJ9" s="40">
        <f>BD9+BF9+BG9+BI9-BE9-BH9</f>
        <v>28538086.041000005</v>
      </c>
      <c r="BK9" s="31">
        <v>1290694</v>
      </c>
      <c r="BL9" s="31">
        <v>649999</v>
      </c>
      <c r="BM9" s="31">
        <v>289728.19</v>
      </c>
      <c r="BN9" s="31">
        <v>0</v>
      </c>
      <c r="BO9" s="31">
        <v>0</v>
      </c>
      <c r="BP9" s="31">
        <v>16982.46</v>
      </c>
      <c r="BQ9" s="40">
        <f>BJ9+BL9+BM9+BO9-BK9-BN9+BP9</f>
        <v>28204101.691000007</v>
      </c>
      <c r="BR9" s="31">
        <v>664571</v>
      </c>
      <c r="BS9" s="31">
        <v>662499</v>
      </c>
      <c r="BT9" s="31">
        <v>289728.19</v>
      </c>
      <c r="BU9" s="31">
        <v>0</v>
      </c>
      <c r="BV9" s="31">
        <v>21881</v>
      </c>
      <c r="BW9" s="31">
        <v>0</v>
      </c>
      <c r="BX9" s="40">
        <f>BQ9+BS9+BT9+BV9-BR9-BU9+BW9</f>
        <v>28513638.88100001</v>
      </c>
      <c r="BY9" s="31">
        <v>1133958</v>
      </c>
      <c r="BZ9" s="31">
        <v>652499</v>
      </c>
      <c r="CA9" s="31">
        <v>289728.19</v>
      </c>
      <c r="CB9" s="31">
        <v>0</v>
      </c>
      <c r="CC9" s="31">
        <v>0</v>
      </c>
      <c r="CD9" s="31">
        <v>0</v>
      </c>
      <c r="CE9" s="40">
        <f>BX9+BZ9+CA9+CC9-BY9-CB9+CD9</f>
        <v>28321908.07100001</v>
      </c>
      <c r="CF9" s="31">
        <v>256482</v>
      </c>
      <c r="CG9" s="31">
        <v>652499</v>
      </c>
      <c r="CH9" s="31">
        <v>289728.19</v>
      </c>
      <c r="CI9" s="31">
        <v>0</v>
      </c>
      <c r="CJ9" s="31">
        <v>14647722</v>
      </c>
      <c r="CK9" s="31">
        <v>0</v>
      </c>
      <c r="CL9" s="40">
        <f>CE9+CG9+CH9+CJ9-CF9-CI9+CK9</f>
        <v>43655375.26100001</v>
      </c>
      <c r="CM9" s="31">
        <v>227802</v>
      </c>
      <c r="CN9" s="31">
        <v>872587</v>
      </c>
      <c r="CO9" s="31">
        <v>289728.19</v>
      </c>
      <c r="CP9" s="31">
        <v>0</v>
      </c>
      <c r="CQ9" s="31">
        <v>116787</v>
      </c>
      <c r="CR9" s="31">
        <v>0</v>
      </c>
      <c r="CS9" s="40">
        <f>CL9+CN9+CO9+CQ9-CM9-CP9+CR9</f>
        <v>44706675.451000005</v>
      </c>
      <c r="CT9" s="31">
        <v>950880</v>
      </c>
      <c r="CU9" s="31">
        <v>351508</v>
      </c>
      <c r="CV9" s="31">
        <v>289728.19</v>
      </c>
      <c r="CW9" s="31">
        <v>0</v>
      </c>
      <c r="CX9" s="31">
        <v>21160</v>
      </c>
      <c r="CY9" s="31">
        <v>8000000</v>
      </c>
      <c r="CZ9" s="40">
        <f>CS9+CU9+CV9+CX9-CT9-CW9+CY9</f>
        <v>52418191.641</v>
      </c>
      <c r="DA9" s="31">
        <v>457524</v>
      </c>
      <c r="DB9" s="31">
        <v>643508</v>
      </c>
      <c r="DC9" s="31">
        <v>289728.19</v>
      </c>
      <c r="DD9" s="31">
        <v>0</v>
      </c>
      <c r="DE9" s="31">
        <v>979</v>
      </c>
      <c r="DF9" s="31">
        <v>0</v>
      </c>
      <c r="DG9" s="40">
        <f>CZ9+DB9+DC9+DE9-DA9-DD9+DF9</f>
        <v>52894882.831</v>
      </c>
      <c r="DH9" s="31">
        <v>1435008</v>
      </c>
      <c r="DI9" s="31">
        <v>643508</v>
      </c>
      <c r="DJ9" s="31">
        <v>289728.19</v>
      </c>
      <c r="DK9" s="31">
        <v>0</v>
      </c>
      <c r="DL9" s="31">
        <v>7659233</v>
      </c>
      <c r="DM9" s="31">
        <v>7000000</v>
      </c>
      <c r="DN9" s="40">
        <f>DG9+DI9+DJ9+DL9-DH9-DK9+DM9</f>
        <v>67052344.021</v>
      </c>
      <c r="DO9" s="31">
        <v>1965272</v>
      </c>
      <c r="DP9" s="31">
        <v>3168226</v>
      </c>
      <c r="DQ9" s="31">
        <v>492615</v>
      </c>
      <c r="DR9" s="31">
        <v>0</v>
      </c>
      <c r="DS9" s="31">
        <v>5676</v>
      </c>
      <c r="DT9" s="31">
        <v>0</v>
      </c>
      <c r="DU9" s="40">
        <f>DN9+DP9+DQ9+DS9-DO9-DR9+DT9</f>
        <v>68753589.021</v>
      </c>
      <c r="DV9" s="31">
        <v>254457</v>
      </c>
      <c r="DW9" s="31">
        <v>440142</v>
      </c>
      <c r="DX9" s="31">
        <v>522647</v>
      </c>
      <c r="DY9" s="31">
        <v>0</v>
      </c>
      <c r="DZ9" s="31">
        <v>0</v>
      </c>
      <c r="EA9" s="31">
        <v>0</v>
      </c>
      <c r="EB9" s="40">
        <f>DU9+DW9+DX9+DZ9-DV9-DY9+EA9</f>
        <v>69461921.021</v>
      </c>
      <c r="EI9" s="44"/>
    </row>
    <row r="10" spans="125:139" s="23" customFormat="1" ht="12.75">
      <c r="DU10" s="54">
        <v>19626798.77</v>
      </c>
      <c r="EI10" s="44"/>
    </row>
    <row r="11" spans="125:139" s="30" customFormat="1" ht="11.25">
      <c r="DU11" s="54">
        <v>3222811.38</v>
      </c>
      <c r="EI11" s="54"/>
    </row>
    <row r="12" spans="8:139" s="30" customFormat="1" ht="11.25">
      <c r="H12" s="30">
        <f>C9+H9</f>
        <v>5093819</v>
      </c>
      <c r="I12" s="30">
        <f>D9+I9</f>
        <v>2500000.0166666666</v>
      </c>
      <c r="J12" s="30">
        <f>E9+J9</f>
        <v>1165678.5585</v>
      </c>
      <c r="K12" s="30">
        <f>F9+K9</f>
        <v>1900253</v>
      </c>
      <c r="M12" s="30">
        <f>H12+M9</f>
        <v>5421595</v>
      </c>
      <c r="N12" s="30">
        <f>I12+N9</f>
        <v>2916666.683333333</v>
      </c>
      <c r="O12" s="30">
        <f>J12+O9</f>
        <v>1359958.317</v>
      </c>
      <c r="P12" s="30">
        <f>K12+P9</f>
        <v>1894963</v>
      </c>
      <c r="R12" s="30">
        <f>M12+R9</f>
        <v>5600608</v>
      </c>
      <c r="S12" s="30">
        <f>N12+S9</f>
        <v>3333333.3499999996</v>
      </c>
      <c r="T12" s="30">
        <f>O12+T9</f>
        <v>1554238.0755</v>
      </c>
      <c r="U12" s="30">
        <f>P12+U9</f>
        <v>1903112</v>
      </c>
      <c r="W12" s="30">
        <f>R12+W9</f>
        <v>6337127</v>
      </c>
      <c r="X12" s="30">
        <f>S12+X9</f>
        <v>5933441.35</v>
      </c>
      <c r="Y12" s="30">
        <f>T12+Y9</f>
        <v>1748517.834</v>
      </c>
      <c r="Z12" s="30">
        <f>U12+Z9</f>
        <v>1903112</v>
      </c>
      <c r="AB12" s="30">
        <f>W12+AB9</f>
        <v>7468057</v>
      </c>
      <c r="AC12" s="30">
        <f>X12+AC9</f>
        <v>6592713.27</v>
      </c>
      <c r="AD12" s="30">
        <f>Y12+AD9</f>
        <v>1942797.5925</v>
      </c>
      <c r="AE12" s="30">
        <f>Z12+AE9</f>
        <v>5283168</v>
      </c>
      <c r="AG12" s="30">
        <f>AB12+AG9</f>
        <v>8435128</v>
      </c>
      <c r="AH12" s="30">
        <f>AC12+AH9</f>
        <v>12096178.27</v>
      </c>
      <c r="AI12" s="30">
        <f>AD12+AI9</f>
        <v>2137077.351</v>
      </c>
      <c r="AK12" s="30">
        <f>AE12+AK9</f>
        <v>5283168</v>
      </c>
      <c r="AM12" s="30">
        <f>AG12+AM9</f>
        <v>19709675</v>
      </c>
      <c r="AN12" s="30">
        <f>AH12+AN9</f>
        <v>21562057.27</v>
      </c>
      <c r="AO12" s="30">
        <f>AI12+AO9</f>
        <v>2387700.351</v>
      </c>
      <c r="AQ12" s="30">
        <f>AK12+AQ9</f>
        <v>5304762</v>
      </c>
      <c r="AS12" s="30">
        <v>0</v>
      </c>
      <c r="AT12" s="30">
        <v>0</v>
      </c>
      <c r="AU12" s="30">
        <v>0</v>
      </c>
      <c r="AW12" s="30">
        <v>0</v>
      </c>
      <c r="AY12" s="30">
        <f>AS9+AY9</f>
        <v>1210449</v>
      </c>
      <c r="AZ12" s="30">
        <f>AT9+AZ9</f>
        <v>1299998</v>
      </c>
      <c r="BA12" s="30">
        <f>AU9+BA9</f>
        <v>579456.38</v>
      </c>
      <c r="BC12" s="30">
        <f>AW12+BC9</f>
        <v>569</v>
      </c>
      <c r="BE12" s="30">
        <f>AY12+BE9</f>
        <v>3254485</v>
      </c>
      <c r="BF12" s="30">
        <f>AZ12+BF9</f>
        <v>1949997</v>
      </c>
      <c r="BG12" s="30">
        <f>BA12+BG9</f>
        <v>869184.5700000001</v>
      </c>
      <c r="BI12" s="30">
        <f>BC12+BI9</f>
        <v>569</v>
      </c>
      <c r="BK12" s="30">
        <f>BE12+BK9</f>
        <v>4545179</v>
      </c>
      <c r="BL12" s="30">
        <f>BF12+BL9</f>
        <v>2599996</v>
      </c>
      <c r="BM12" s="30">
        <f>BG12+BM9</f>
        <v>1158912.76</v>
      </c>
      <c r="BO12" s="30">
        <f>BI12+BO9</f>
        <v>569</v>
      </c>
      <c r="BR12" s="30">
        <f>BK12+BR9</f>
        <v>5209750</v>
      </c>
      <c r="BS12" s="30">
        <f>+BL12+BS9</f>
        <v>3262495</v>
      </c>
      <c r="BT12" s="30">
        <f>BM12+BT9</f>
        <v>1448640.95</v>
      </c>
      <c r="BV12" s="30">
        <f>BO12+BV9</f>
        <v>22450</v>
      </c>
      <c r="BW12" s="30">
        <f>BP9+BW9</f>
        <v>16982.46</v>
      </c>
      <c r="BY12" s="30">
        <f>BR12+BY9</f>
        <v>6343708</v>
      </c>
      <c r="BZ12" s="30">
        <f>+BS12+BZ9</f>
        <v>3914994</v>
      </c>
      <c r="CA12" s="30">
        <f>BT12+CA9</f>
        <v>1738369.14</v>
      </c>
      <c r="CC12" s="30">
        <f>BV12+CC9</f>
        <v>22450</v>
      </c>
      <c r="CD12" s="30">
        <f>BW12+CD9</f>
        <v>16982.46</v>
      </c>
      <c r="CF12" s="30">
        <f>BY12+CF9</f>
        <v>6600190</v>
      </c>
      <c r="CG12" s="30">
        <f>+BZ12+CG9</f>
        <v>4567493</v>
      </c>
      <c r="CH12" s="30">
        <f>CA12+CH9</f>
        <v>2028097.3299999998</v>
      </c>
      <c r="CJ12" s="30">
        <f>CC12+CJ9</f>
        <v>14670172</v>
      </c>
      <c r="CK12" s="30">
        <f>CD12+CK9</f>
        <v>16982.46</v>
      </c>
      <c r="CM12" s="30">
        <f>CF12+CM9</f>
        <v>6827992</v>
      </c>
      <c r="CN12" s="30">
        <f>+CG12+CN9</f>
        <v>5440080</v>
      </c>
      <c r="CO12" s="30">
        <f>CH12+CO9</f>
        <v>2317825.52</v>
      </c>
      <c r="CQ12" s="30">
        <f>CJ12+CQ9</f>
        <v>14786959</v>
      </c>
      <c r="CR12" s="30">
        <f>CK12+CR9</f>
        <v>16982.46</v>
      </c>
      <c r="CT12" s="30">
        <f>CM12+CT9</f>
        <v>7778872</v>
      </c>
      <c r="CU12" s="30">
        <f>+CN12+CU9</f>
        <v>5791588</v>
      </c>
      <c r="CV12" s="30">
        <f>CO12+CV9</f>
        <v>2607553.71</v>
      </c>
      <c r="CX12" s="30">
        <f>CQ12+CX9</f>
        <v>14808119</v>
      </c>
      <c r="CY12" s="30">
        <f>CR12+CY9</f>
        <v>8016982.46</v>
      </c>
      <c r="DA12" s="30">
        <f>CT12+DA9</f>
        <v>8236396</v>
      </c>
      <c r="DB12" s="30">
        <f>+CU12+DB9</f>
        <v>6435096</v>
      </c>
      <c r="DC12" s="30">
        <f>CV12+DC9</f>
        <v>2897281.9</v>
      </c>
      <c r="DE12" s="30">
        <f>CX12+DE9</f>
        <v>14809098</v>
      </c>
      <c r="DF12" s="30">
        <f>CY12+DF9</f>
        <v>8016982.46</v>
      </c>
      <c r="DH12" s="30">
        <f>DA12+DH9</f>
        <v>9671404</v>
      </c>
      <c r="DI12" s="30">
        <f>+DB12+DI9</f>
        <v>7078604</v>
      </c>
      <c r="DJ12" s="30">
        <f>DC12+DJ9</f>
        <v>3187010.09</v>
      </c>
      <c r="DL12" s="30">
        <f>DE12+DL9</f>
        <v>22468331</v>
      </c>
      <c r="DM12" s="30">
        <f>DF12+DM9</f>
        <v>15016982.46</v>
      </c>
      <c r="DO12" s="30">
        <f>DH12+DO9</f>
        <v>11636676</v>
      </c>
      <c r="DP12" s="30">
        <f>+DI12+DP9</f>
        <v>10246830</v>
      </c>
      <c r="DQ12" s="30">
        <f>DJ12+DQ9</f>
        <v>3679625.09</v>
      </c>
      <c r="DS12" s="30">
        <f>DL12+DS9</f>
        <v>22474007</v>
      </c>
      <c r="DT12" s="30">
        <f>DM12+DT9</f>
        <v>15016982.46</v>
      </c>
      <c r="DU12" s="54">
        <v>29415109.67</v>
      </c>
      <c r="DV12" s="30">
        <v>0</v>
      </c>
      <c r="DW12" s="30">
        <v>0</v>
      </c>
      <c r="DX12" s="30">
        <v>0</v>
      </c>
      <c r="DZ12" s="30">
        <v>0</v>
      </c>
      <c r="EA12" s="30">
        <v>0</v>
      </c>
      <c r="EI12" s="54"/>
    </row>
    <row r="13" spans="8:139" s="29" customFormat="1" ht="11.25">
      <c r="H13" s="32" t="s">
        <v>89</v>
      </c>
      <c r="I13" s="32"/>
      <c r="J13" s="32"/>
      <c r="K13" s="32" t="s">
        <v>91</v>
      </c>
      <c r="L13" s="32"/>
      <c r="M13" s="32" t="s">
        <v>89</v>
      </c>
      <c r="N13" s="32"/>
      <c r="O13" s="32"/>
      <c r="P13" s="32" t="s">
        <v>91</v>
      </c>
      <c r="Q13" s="32"/>
      <c r="R13" s="32" t="s">
        <v>89</v>
      </c>
      <c r="S13" s="32"/>
      <c r="T13" s="32"/>
      <c r="U13" s="32" t="s">
        <v>91</v>
      </c>
      <c r="V13" s="32"/>
      <c r="W13" s="32" t="s">
        <v>89</v>
      </c>
      <c r="X13" s="32"/>
      <c r="Y13" s="32"/>
      <c r="Z13" s="32" t="s">
        <v>91</v>
      </c>
      <c r="AA13" s="32"/>
      <c r="AB13" s="32" t="s">
        <v>89</v>
      </c>
      <c r="AC13" s="32"/>
      <c r="AD13" s="32"/>
      <c r="AE13" s="32" t="s">
        <v>91</v>
      </c>
      <c r="AF13" s="32"/>
      <c r="AG13" s="32" t="s">
        <v>89</v>
      </c>
      <c r="AH13" s="32"/>
      <c r="AI13" s="32"/>
      <c r="AJ13" s="32"/>
      <c r="AK13" s="32" t="s">
        <v>91</v>
      </c>
      <c r="AL13" s="32"/>
      <c r="AM13" s="32" t="s">
        <v>89</v>
      </c>
      <c r="AN13" s="32"/>
      <c r="AO13" s="32"/>
      <c r="AP13" s="32"/>
      <c r="AQ13" s="32" t="s">
        <v>91</v>
      </c>
      <c r="AR13" s="32"/>
      <c r="AS13" s="32" t="s">
        <v>89</v>
      </c>
      <c r="AT13" s="32"/>
      <c r="AU13" s="32"/>
      <c r="AV13" s="32"/>
      <c r="AW13" s="32" t="s">
        <v>91</v>
      </c>
      <c r="AX13" s="32"/>
      <c r="AY13" s="32" t="s">
        <v>89</v>
      </c>
      <c r="AZ13" s="32"/>
      <c r="BA13" s="32"/>
      <c r="BB13" s="32"/>
      <c r="BC13" s="32" t="s">
        <v>91</v>
      </c>
      <c r="BD13" s="32"/>
      <c r="BE13" s="32" t="s">
        <v>89</v>
      </c>
      <c r="BF13" s="32"/>
      <c r="BG13" s="32"/>
      <c r="BH13" s="32"/>
      <c r="BI13" s="32" t="s">
        <v>91</v>
      </c>
      <c r="BJ13" s="32"/>
      <c r="BK13" s="32" t="s">
        <v>89</v>
      </c>
      <c r="BL13" s="32"/>
      <c r="BM13" s="32"/>
      <c r="BN13" s="32"/>
      <c r="BO13" s="32" t="s">
        <v>91</v>
      </c>
      <c r="BP13" s="32"/>
      <c r="BQ13" s="32"/>
      <c r="BR13" s="32" t="s">
        <v>89</v>
      </c>
      <c r="BS13" s="32"/>
      <c r="BT13" s="32"/>
      <c r="BU13" s="32"/>
      <c r="BV13" s="32" t="s">
        <v>91</v>
      </c>
      <c r="BW13" s="32"/>
      <c r="BX13" s="32"/>
      <c r="BY13" s="32" t="s">
        <v>89</v>
      </c>
      <c r="BZ13" s="32"/>
      <c r="CA13" s="32"/>
      <c r="CB13" s="32"/>
      <c r="CC13" s="32" t="s">
        <v>91</v>
      </c>
      <c r="CD13" s="32"/>
      <c r="CE13" s="32"/>
      <c r="CF13" s="32" t="s">
        <v>89</v>
      </c>
      <c r="CG13" s="32"/>
      <c r="CH13" s="32"/>
      <c r="CI13" s="32"/>
      <c r="CJ13" s="32" t="s">
        <v>91</v>
      </c>
      <c r="CK13" s="32"/>
      <c r="CL13" s="32"/>
      <c r="CM13" s="32" t="s">
        <v>89</v>
      </c>
      <c r="CN13" s="32"/>
      <c r="CO13" s="32"/>
      <c r="CP13" s="32"/>
      <c r="CQ13" s="32" t="s">
        <v>91</v>
      </c>
      <c r="CR13" s="32"/>
      <c r="CS13" s="32"/>
      <c r="CT13" s="32" t="s">
        <v>89</v>
      </c>
      <c r="CU13" s="32"/>
      <c r="CV13" s="32"/>
      <c r="CW13" s="32"/>
      <c r="CX13" s="32" t="s">
        <v>91</v>
      </c>
      <c r="CY13" s="32"/>
      <c r="CZ13" s="32"/>
      <c r="DA13" s="32" t="s">
        <v>89</v>
      </c>
      <c r="DB13" s="32"/>
      <c r="DC13" s="32"/>
      <c r="DD13" s="32"/>
      <c r="DE13" s="32" t="s">
        <v>91</v>
      </c>
      <c r="DF13" s="32"/>
      <c r="DG13" s="32"/>
      <c r="DH13" s="32" t="s">
        <v>89</v>
      </c>
      <c r="DI13" s="32"/>
      <c r="DJ13" s="32"/>
      <c r="DK13" s="32"/>
      <c r="DL13" s="32" t="s">
        <v>91</v>
      </c>
      <c r="DM13" s="32"/>
      <c r="DN13" s="32"/>
      <c r="DO13" s="32" t="s">
        <v>89</v>
      </c>
      <c r="DP13" s="32"/>
      <c r="DQ13" s="32"/>
      <c r="DR13" s="32"/>
      <c r="DS13" s="32" t="s">
        <v>91</v>
      </c>
      <c r="DT13" s="32"/>
      <c r="DU13" s="54">
        <v>16488869.12</v>
      </c>
      <c r="DV13" s="32" t="s">
        <v>89</v>
      </c>
      <c r="DW13" s="32"/>
      <c r="DX13" s="32"/>
      <c r="DY13" s="32"/>
      <c r="DZ13" s="32" t="s">
        <v>91</v>
      </c>
      <c r="EA13" s="32"/>
      <c r="EB13" s="32"/>
      <c r="EI13" s="54"/>
    </row>
    <row r="14" spans="8:139" s="29" customFormat="1" ht="12.75">
      <c r="H14" s="32" t="s">
        <v>90</v>
      </c>
      <c r="I14" s="32"/>
      <c r="J14" s="32"/>
      <c r="K14" s="32"/>
      <c r="L14" s="32"/>
      <c r="M14" s="32" t="s">
        <v>90</v>
      </c>
      <c r="N14" s="32"/>
      <c r="O14" s="32"/>
      <c r="P14" s="32"/>
      <c r="Q14" s="32"/>
      <c r="R14" s="32" t="s">
        <v>90</v>
      </c>
      <c r="S14" s="32"/>
      <c r="T14" s="32"/>
      <c r="U14" s="32"/>
      <c r="V14" s="32"/>
      <c r="W14" s="32" t="s">
        <v>90</v>
      </c>
      <c r="X14" s="32"/>
      <c r="Y14" s="32"/>
      <c r="Z14" s="32"/>
      <c r="AA14" s="32"/>
      <c r="AB14" s="32" t="s">
        <v>90</v>
      </c>
      <c r="AC14" s="32"/>
      <c r="AD14" s="32"/>
      <c r="AE14" s="32"/>
      <c r="AF14" s="32"/>
      <c r="AG14" s="32" t="s">
        <v>90</v>
      </c>
      <c r="AH14" s="32"/>
      <c r="AI14" s="32"/>
      <c r="AJ14" s="32"/>
      <c r="AK14" s="32"/>
      <c r="AL14" s="32"/>
      <c r="AM14" s="32" t="s">
        <v>90</v>
      </c>
      <c r="AN14" s="32"/>
      <c r="AO14" s="32"/>
      <c r="AP14" s="32"/>
      <c r="AQ14" s="32"/>
      <c r="AR14" s="32"/>
      <c r="AS14" s="32" t="s">
        <v>90</v>
      </c>
      <c r="AT14" s="32"/>
      <c r="AU14" s="32"/>
      <c r="AV14" s="32"/>
      <c r="AW14" s="32"/>
      <c r="AX14" s="32"/>
      <c r="AY14" s="32" t="s">
        <v>90</v>
      </c>
      <c r="AZ14" s="32"/>
      <c r="BA14" s="32"/>
      <c r="BB14" s="32"/>
      <c r="BC14" s="32"/>
      <c r="BD14" s="32"/>
      <c r="BE14" s="32" t="s">
        <v>90</v>
      </c>
      <c r="BF14" s="32"/>
      <c r="BG14" s="32"/>
      <c r="BH14" s="32"/>
      <c r="BI14" s="32"/>
      <c r="BJ14" s="32"/>
      <c r="BK14" s="32" t="s">
        <v>90</v>
      </c>
      <c r="BL14" s="32"/>
      <c r="BM14" s="32"/>
      <c r="BN14" s="32"/>
      <c r="BO14" s="32"/>
      <c r="BP14" s="32"/>
      <c r="BQ14" s="32"/>
      <c r="BR14" s="32" t="s">
        <v>90</v>
      </c>
      <c r="BS14" s="32"/>
      <c r="BT14" s="32"/>
      <c r="BU14" s="32"/>
      <c r="BV14" s="32"/>
      <c r="BW14" s="32"/>
      <c r="BX14" s="32"/>
      <c r="BY14" s="32" t="s">
        <v>90</v>
      </c>
      <c r="BZ14" s="32"/>
      <c r="CA14" s="32"/>
      <c r="CB14" s="32"/>
      <c r="CC14" s="32"/>
      <c r="CD14" s="32"/>
      <c r="CE14" s="32"/>
      <c r="CF14" s="32" t="s">
        <v>90</v>
      </c>
      <c r="CG14" s="32"/>
      <c r="CH14" s="32"/>
      <c r="CI14" s="32"/>
      <c r="CJ14" s="32"/>
      <c r="CK14" s="32"/>
      <c r="CL14" s="32"/>
      <c r="CM14" s="32" t="s">
        <v>90</v>
      </c>
      <c r="CN14" s="32"/>
      <c r="CO14" s="32"/>
      <c r="CP14" s="32"/>
      <c r="CQ14" s="32"/>
      <c r="CR14" s="32"/>
      <c r="CS14" s="32"/>
      <c r="CT14" s="32" t="s">
        <v>90</v>
      </c>
      <c r="CU14" s="32"/>
      <c r="CV14" s="32"/>
      <c r="CW14" s="32"/>
      <c r="CX14" s="32"/>
      <c r="CY14" s="32"/>
      <c r="CZ14" s="32"/>
      <c r="DA14" s="32" t="s">
        <v>90</v>
      </c>
      <c r="DB14" s="32"/>
      <c r="DC14" s="32"/>
      <c r="DD14" s="32"/>
      <c r="DE14" s="32"/>
      <c r="DF14" s="32"/>
      <c r="DG14" s="32"/>
      <c r="DH14" s="32" t="s">
        <v>90</v>
      </c>
      <c r="DI14" s="32"/>
      <c r="DJ14" s="32"/>
      <c r="DK14" s="32"/>
      <c r="DL14" s="32"/>
      <c r="DM14" s="32"/>
      <c r="DN14" s="32"/>
      <c r="DO14" s="32" t="s">
        <v>90</v>
      </c>
      <c r="DP14" s="32"/>
      <c r="DQ14" s="32"/>
      <c r="DR14" s="32"/>
      <c r="DS14" s="32"/>
      <c r="DT14" s="32"/>
      <c r="DU14" s="55">
        <f>SUM(DU10:DU13)</f>
        <v>68753588.94</v>
      </c>
      <c r="DV14" s="32" t="s">
        <v>90</v>
      </c>
      <c r="DW14" s="32"/>
      <c r="DX14" s="32"/>
      <c r="DY14" s="32"/>
      <c r="DZ14" s="32"/>
      <c r="EA14" s="32"/>
      <c r="EB14" s="32"/>
      <c r="EI14" s="54"/>
    </row>
    <row r="15" spans="1:139" s="29" customFormat="1" ht="12" thickBot="1">
      <c r="A15" s="29" t="s">
        <v>99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I15" s="54"/>
    </row>
    <row r="16" spans="24:139" s="29" customFormat="1" ht="11.25">
      <c r="X16" s="36">
        <v>2433441.25</v>
      </c>
      <c r="AC16" s="36">
        <v>492605.25</v>
      </c>
      <c r="AH16" s="36">
        <v>492605.25</v>
      </c>
      <c r="AJ16" s="32" t="s">
        <v>94</v>
      </c>
      <c r="AK16" s="32"/>
      <c r="AN16" s="36">
        <v>492605.25</v>
      </c>
      <c r="AP16" s="32" t="s">
        <v>94</v>
      </c>
      <c r="AQ16" s="32"/>
      <c r="AT16" s="36"/>
      <c r="AV16" s="32" t="s">
        <v>94</v>
      </c>
      <c r="AW16" s="32"/>
      <c r="AZ16" s="36"/>
      <c r="BB16" s="32" t="s">
        <v>94</v>
      </c>
      <c r="BC16" s="32"/>
      <c r="BF16" s="36"/>
      <c r="BH16" s="32" t="s">
        <v>94</v>
      </c>
      <c r="BI16" s="32"/>
      <c r="BL16" s="36"/>
      <c r="BN16" s="32" t="s">
        <v>94</v>
      </c>
      <c r="BO16" s="32"/>
      <c r="BP16" s="32"/>
      <c r="BS16" s="36"/>
      <c r="BU16" s="32" t="s">
        <v>94</v>
      </c>
      <c r="BV16" s="32"/>
      <c r="BW16" s="32"/>
      <c r="BZ16" s="36"/>
      <c r="CB16" s="32" t="s">
        <v>94</v>
      </c>
      <c r="CC16" s="32"/>
      <c r="CD16" s="32"/>
      <c r="CG16" s="36"/>
      <c r="CI16" s="32" t="s">
        <v>94</v>
      </c>
      <c r="CJ16" s="32"/>
      <c r="CK16" s="32"/>
      <c r="CN16" s="36"/>
      <c r="CP16" s="32" t="s">
        <v>94</v>
      </c>
      <c r="CQ16" s="32"/>
      <c r="CR16" s="32"/>
      <c r="CU16" s="36"/>
      <c r="CW16" s="32" t="s">
        <v>94</v>
      </c>
      <c r="CX16" s="32"/>
      <c r="CY16" s="32"/>
      <c r="DB16" s="36"/>
      <c r="DD16" s="32" t="s">
        <v>94</v>
      </c>
      <c r="DE16" s="32"/>
      <c r="DF16" s="32"/>
      <c r="DI16" s="36"/>
      <c r="DK16" s="32" t="s">
        <v>94</v>
      </c>
      <c r="DL16" s="32"/>
      <c r="DM16" s="32"/>
      <c r="DN16" s="56" t="s">
        <v>108</v>
      </c>
      <c r="DO16" s="62">
        <v>9920143.12</v>
      </c>
      <c r="DP16" s="58">
        <v>9446830</v>
      </c>
      <c r="DQ16" s="36">
        <v>2372018.85</v>
      </c>
      <c r="DR16" s="32" t="s">
        <v>94</v>
      </c>
      <c r="DS16" s="32"/>
      <c r="DT16" s="32"/>
      <c r="DU16" s="54"/>
      <c r="DV16" s="62"/>
      <c r="DW16" s="58"/>
      <c r="DX16" s="36"/>
      <c r="DY16" s="32" t="s">
        <v>94</v>
      </c>
      <c r="DZ16" s="32"/>
      <c r="EA16" s="32"/>
      <c r="EB16" s="65">
        <v>19626798.77</v>
      </c>
      <c r="EI16" s="54"/>
    </row>
    <row r="17" spans="1:139" s="29" customFormat="1" ht="11.25">
      <c r="A17" s="29" t="s">
        <v>100</v>
      </c>
      <c r="X17" s="37">
        <v>166666.67</v>
      </c>
      <c r="AC17" s="37">
        <v>166666.67</v>
      </c>
      <c r="AH17" s="37">
        <v>166666.67</v>
      </c>
      <c r="AN17" s="37">
        <v>166666.67</v>
      </c>
      <c r="AT17" s="37"/>
      <c r="AZ17" s="37"/>
      <c r="BF17" s="37"/>
      <c r="BL17" s="37"/>
      <c r="BS17" s="37"/>
      <c r="BZ17" s="37"/>
      <c r="CG17" s="37"/>
      <c r="CN17" s="37"/>
      <c r="CU17" s="37"/>
      <c r="DB17" s="37"/>
      <c r="DI17" s="37"/>
      <c r="DN17" s="56" t="s">
        <v>109</v>
      </c>
      <c r="DO17" s="63">
        <v>852559.66</v>
      </c>
      <c r="DP17" s="59">
        <v>800000</v>
      </c>
      <c r="DQ17" s="37">
        <v>386527.29</v>
      </c>
      <c r="DU17" s="54"/>
      <c r="DV17" s="63"/>
      <c r="DW17" s="59"/>
      <c r="DX17" s="37"/>
      <c r="EB17" s="65">
        <v>3222811.38</v>
      </c>
      <c r="EI17" s="54"/>
    </row>
    <row r="18" spans="1:139" s="29" customFormat="1" ht="12" thickBot="1">
      <c r="A18" s="29" t="s">
        <v>101</v>
      </c>
      <c r="X18" s="38">
        <f>SUM(X16:X17)</f>
        <v>2600107.92</v>
      </c>
      <c r="AC18" s="38">
        <f>SUM(AC16:AC17)</f>
        <v>659271.92</v>
      </c>
      <c r="AH18" s="38">
        <f>SUM(AH16:AH17)</f>
        <v>659271.92</v>
      </c>
      <c r="AN18" s="38">
        <f>SUM(AN16:AN17)</f>
        <v>659271.92</v>
      </c>
      <c r="AT18" s="38"/>
      <c r="AZ18" s="38"/>
      <c r="BF18" s="38"/>
      <c r="BL18" s="38"/>
      <c r="BS18" s="38"/>
      <c r="BZ18" s="38"/>
      <c r="CG18" s="38"/>
      <c r="CN18" s="38"/>
      <c r="CU18" s="38"/>
      <c r="DB18" s="38"/>
      <c r="DI18" s="38"/>
      <c r="DN18" s="56" t="s">
        <v>110</v>
      </c>
      <c r="DO18" s="63">
        <v>863972.17</v>
      </c>
      <c r="DP18" s="60"/>
      <c r="DQ18" s="37">
        <v>921078.6</v>
      </c>
      <c r="DU18" s="54"/>
      <c r="DV18" s="63"/>
      <c r="DW18" s="60"/>
      <c r="DX18" s="37"/>
      <c r="EB18" s="65">
        <v>29415109.67</v>
      </c>
      <c r="EI18" s="54"/>
    </row>
    <row r="19" spans="1:139" s="29" customFormat="1" ht="12" thickBot="1">
      <c r="A19" s="29" t="s">
        <v>102</v>
      </c>
      <c r="DN19" s="56" t="s">
        <v>111</v>
      </c>
      <c r="DO19" s="64"/>
      <c r="DP19" s="61"/>
      <c r="DQ19" s="38"/>
      <c r="DU19" s="54"/>
      <c r="DV19" s="64"/>
      <c r="DW19" s="61"/>
      <c r="DX19" s="38"/>
      <c r="EB19" s="54">
        <v>16488869.12</v>
      </c>
      <c r="EI19" s="54"/>
    </row>
    <row r="20" spans="1:132" ht="12.75">
      <c r="A20" s="29" t="s">
        <v>103</v>
      </c>
      <c r="AH20" s="30">
        <v>10262844.86</v>
      </c>
      <c r="AN20" s="30">
        <v>10262844.86</v>
      </c>
      <c r="AT20" s="30"/>
      <c r="AZ20" s="30"/>
      <c r="BF20" s="30"/>
      <c r="BL20" s="30"/>
      <c r="BS20" s="30"/>
      <c r="BZ20" s="30"/>
      <c r="CG20" s="30"/>
      <c r="CN20" s="30"/>
      <c r="CU20" s="30"/>
      <c r="DB20" s="30"/>
      <c r="DI20" s="30"/>
      <c r="DO20" s="57">
        <f>SUM(DO16:DO19)</f>
        <v>11636674.95</v>
      </c>
      <c r="DP20" s="57">
        <f>SUM(DP16:DP19)</f>
        <v>10246830</v>
      </c>
      <c r="DQ20" s="57">
        <f>SUM(DQ16:DQ19)</f>
        <v>3679624.74</v>
      </c>
      <c r="DU20" s="55"/>
      <c r="DV20" s="57">
        <f>SUM(DV16:DV19)</f>
        <v>0</v>
      </c>
      <c r="DW20" s="57">
        <f>SUM(DW16:DW19)</f>
        <v>0</v>
      </c>
      <c r="DX20" s="57">
        <f>SUM(DX16:DX19)</f>
        <v>0</v>
      </c>
      <c r="EB20" s="55">
        <f>SUM(EB16:EB19)</f>
        <v>68753588.94</v>
      </c>
    </row>
    <row r="21" spans="1:127" ht="12.75">
      <c r="A21" s="32" t="s">
        <v>104</v>
      </c>
      <c r="AH21" s="30">
        <v>1833333.37</v>
      </c>
      <c r="AN21" s="30">
        <v>1833333.37</v>
      </c>
      <c r="AT21" s="30"/>
      <c r="AZ21" s="30"/>
      <c r="BF21" s="30"/>
      <c r="BL21" s="30"/>
      <c r="BS21" s="30"/>
      <c r="BZ21" s="30"/>
      <c r="CG21" s="30"/>
      <c r="CN21" s="30"/>
      <c r="CU21" s="30"/>
      <c r="DB21" s="30"/>
      <c r="DI21" s="30"/>
      <c r="DP21" s="30"/>
      <c r="DW21" s="30"/>
    </row>
    <row r="22" spans="34:127" ht="12.75">
      <c r="AH22" s="30">
        <f>SUM(AH20:AH21)</f>
        <v>12096178.23</v>
      </c>
      <c r="AN22" s="30">
        <f>SUM(AN20:AN21)</f>
        <v>12096178.23</v>
      </c>
      <c r="AT22" s="30"/>
      <c r="AZ22" s="30"/>
      <c r="BF22" s="30"/>
      <c r="BL22" s="30"/>
      <c r="BS22" s="30"/>
      <c r="BZ22" s="30"/>
      <c r="CG22" s="30"/>
      <c r="CN22" s="30"/>
      <c r="CU22" s="30"/>
      <c r="DB22" s="30"/>
      <c r="DI22" s="30"/>
      <c r="DP22" s="30"/>
      <c r="DW22" s="30"/>
    </row>
    <row r="23" spans="1:127" ht="12.75">
      <c r="A23" s="97" t="s">
        <v>113</v>
      </c>
      <c r="AH23" s="30"/>
      <c r="AN23" s="30"/>
      <c r="AT23" s="30"/>
      <c r="AZ23" s="30"/>
      <c r="BF23" s="30"/>
      <c r="BL23" s="30"/>
      <c r="BS23" s="30"/>
      <c r="BZ23" s="30"/>
      <c r="CG23" s="30"/>
      <c r="CN23" s="30"/>
      <c r="CU23" s="30"/>
      <c r="DB23" s="30"/>
      <c r="DI23" s="30"/>
      <c r="DP23" s="30"/>
      <c r="DW23" s="30"/>
    </row>
    <row r="24" ht="12.75">
      <c r="A24" s="98" t="s">
        <v>114</v>
      </c>
    </row>
    <row r="25" spans="1:127" ht="12.75">
      <c r="A25" s="98" t="s">
        <v>101</v>
      </c>
      <c r="AL25" s="23">
        <f>C9+H9+M9+R9+W9+AG9+AB9</f>
        <v>8435128</v>
      </c>
      <c r="AM25" s="23">
        <f>D9+I9+N9+S9+X9+AH9+AC9</f>
        <v>12096178.27</v>
      </c>
      <c r="AN25" s="23">
        <f>E9+J9+O9+T9+Y9+AI9+AD9</f>
        <v>2137077.351</v>
      </c>
      <c r="AS25" s="23"/>
      <c r="AT25" s="23"/>
      <c r="AY25" s="23"/>
      <c r="AZ25" s="23"/>
      <c r="BE25" s="23"/>
      <c r="BF25" s="23"/>
      <c r="BK25" s="23"/>
      <c r="BL25" s="23"/>
      <c r="BR25" s="23"/>
      <c r="BS25" s="23"/>
      <c r="BY25" s="23"/>
      <c r="BZ25" s="23"/>
      <c r="CF25" s="23"/>
      <c r="CG25" s="23"/>
      <c r="CM25" s="23"/>
      <c r="CN25" s="23"/>
      <c r="CT25" s="23"/>
      <c r="CU25" s="23"/>
      <c r="DA25" s="23"/>
      <c r="DB25" s="23"/>
      <c r="DH25" s="23"/>
      <c r="DI25" s="23"/>
      <c r="DO25" s="23"/>
      <c r="DP25" s="23"/>
      <c r="DV25" s="23"/>
      <c r="DW25" s="23"/>
    </row>
    <row r="26" ht="12.75">
      <c r="A26" s="98" t="s">
        <v>115</v>
      </c>
    </row>
    <row r="27" ht="12.75">
      <c r="A27" s="98" t="s">
        <v>103</v>
      </c>
    </row>
    <row r="28" ht="12.75">
      <c r="A28" s="46" t="s">
        <v>116</v>
      </c>
    </row>
    <row r="29" ht="12.75"/>
    <row r="30" spans="34:126" ht="12.75">
      <c r="AH30" s="44">
        <v>15734751.39</v>
      </c>
      <c r="AI30" s="44">
        <v>18090170.77</v>
      </c>
      <c r="AJ30" s="44">
        <v>18030630.087</v>
      </c>
      <c r="AK30" s="44">
        <v>1933800.95</v>
      </c>
      <c r="AL30" s="44"/>
      <c r="AM30" s="44">
        <f>AH30+AI30-AJ30+AK30</f>
        <v>17728093.022999994</v>
      </c>
      <c r="AS30" s="44"/>
      <c r="AY30" s="44"/>
      <c r="BE30" s="44"/>
      <c r="BK30" s="44"/>
      <c r="BR30" s="44"/>
      <c r="BY30" s="44"/>
      <c r="CF30" s="44"/>
      <c r="CM30" s="44"/>
      <c r="CT30" s="44"/>
      <c r="DA30" s="44"/>
      <c r="DH30" s="44"/>
      <c r="DO30" s="44"/>
      <c r="DV30" s="44"/>
    </row>
    <row r="31" spans="34:126" ht="12.75">
      <c r="AH31" s="44">
        <v>1930615.99</v>
      </c>
      <c r="AI31" s="44">
        <v>2000000</v>
      </c>
      <c r="AJ31" s="44">
        <v>1279044.95</v>
      </c>
      <c r="AK31" s="44">
        <v>237272.71</v>
      </c>
      <c r="AL31" s="44"/>
      <c r="AM31" s="44">
        <f>AH31+AI31-AJ31+AK31</f>
        <v>2888843.75</v>
      </c>
      <c r="AS31" s="44"/>
      <c r="AY31" s="44"/>
      <c r="BE31" s="44"/>
      <c r="BK31" s="44"/>
      <c r="BR31" s="44"/>
      <c r="BY31" s="44"/>
      <c r="CF31" s="44"/>
      <c r="CM31" s="44"/>
      <c r="CT31" s="44"/>
      <c r="DA31" s="44"/>
      <c r="DH31" s="44"/>
      <c r="DO31" s="44"/>
      <c r="DV31" s="44"/>
    </row>
    <row r="32" spans="1:126" ht="12.75">
      <c r="A32" s="184" t="s">
        <v>236</v>
      </c>
      <c r="AH32" s="44">
        <v>1762608.47</v>
      </c>
      <c r="AI32" s="44">
        <v>5304762.46</v>
      </c>
      <c r="AJ32" s="44">
        <v>400000</v>
      </c>
      <c r="AK32" s="44">
        <v>216624.58</v>
      </c>
      <c r="AL32" s="44"/>
      <c r="AM32" s="44">
        <f>AH32+AI32-AJ32+AK32</f>
        <v>6883995.51</v>
      </c>
      <c r="AS32" s="44"/>
      <c r="AY32" s="44"/>
      <c r="BE32" s="44"/>
      <c r="BK32" s="44"/>
      <c r="BR32" s="44"/>
      <c r="BY32" s="44"/>
      <c r="CF32" s="44"/>
      <c r="CM32" s="44"/>
      <c r="CT32" s="44"/>
      <c r="DA32" s="44"/>
      <c r="DH32" s="44"/>
      <c r="DO32" s="44"/>
      <c r="DV32" s="44"/>
    </row>
    <row r="33" spans="34:126" ht="12.75">
      <c r="AH33" s="44"/>
      <c r="AI33" s="44">
        <v>1471886.66</v>
      </c>
      <c r="AJ33" s="44"/>
      <c r="AK33" s="44"/>
      <c r="AL33" s="44"/>
      <c r="AM33" s="44">
        <f>AH33+AI33-AJ33+AK33</f>
        <v>1471886.66</v>
      </c>
      <c r="AS33" s="44"/>
      <c r="AY33" s="44"/>
      <c r="BE33" s="44"/>
      <c r="BK33" s="44"/>
      <c r="BR33" s="44"/>
      <c r="BY33" s="44"/>
      <c r="CF33" s="44"/>
      <c r="CM33" s="44"/>
      <c r="CT33" s="44"/>
      <c r="DA33" s="44"/>
      <c r="DH33" s="44"/>
      <c r="DO33" s="44"/>
      <c r="DV33" s="44"/>
    </row>
    <row r="34" spans="34:126" ht="12.75">
      <c r="AH34" s="44"/>
      <c r="AI34" s="44"/>
      <c r="AJ34" s="44"/>
      <c r="AK34" s="44"/>
      <c r="AL34" s="44"/>
      <c r="AM34" s="44">
        <f>AH34+AI34-AJ34+AK34</f>
        <v>0</v>
      </c>
      <c r="AS34" s="44"/>
      <c r="AY34" s="44"/>
      <c r="BE34" s="44"/>
      <c r="BK34" s="44"/>
      <c r="BR34" s="44"/>
      <c r="BY34" s="44"/>
      <c r="CF34" s="44"/>
      <c r="CM34" s="44"/>
      <c r="CT34" s="44"/>
      <c r="DA34" s="44"/>
      <c r="DH34" s="44"/>
      <c r="DO34" s="44"/>
      <c r="DV34" s="44"/>
    </row>
    <row r="35" spans="1:133" ht="13.5" thickBot="1">
      <c r="A35" s="1" t="s">
        <v>227</v>
      </c>
      <c r="AH35" s="45">
        <f>SUM(AH30:AH34)</f>
        <v>19427975.849999998</v>
      </c>
      <c r="AI35" s="45">
        <f>AI30+AI31+AI33</f>
        <v>21562057.43</v>
      </c>
      <c r="AJ35" s="45">
        <f>SUM(AJ30:AJ33)</f>
        <v>19709675.037</v>
      </c>
      <c r="AK35" s="45">
        <f>SUM(AK30:AK33)</f>
        <v>2387698.24</v>
      </c>
      <c r="AL35" s="45">
        <f>SUM(AL30:AL33)</f>
        <v>0</v>
      </c>
      <c r="AM35" s="45">
        <f>SUM(AM30:AM34)</f>
        <v>28972818.942999993</v>
      </c>
      <c r="AS35" s="44"/>
      <c r="AY35" s="44"/>
      <c r="BE35" s="44"/>
      <c r="BK35" s="44"/>
      <c r="BR35" s="44"/>
      <c r="BY35" s="44"/>
      <c r="CF35" s="44"/>
      <c r="CM35" s="44"/>
      <c r="CT35" s="44"/>
      <c r="DA35" s="44"/>
      <c r="DH35" s="44"/>
      <c r="DO35" s="44"/>
      <c r="DV35" s="44"/>
      <c r="EC35" s="186">
        <v>1002080</v>
      </c>
    </row>
    <row r="36" spans="1:133" ht="13.5" thickTop="1">
      <c r="A36" s="39" t="s">
        <v>228</v>
      </c>
      <c r="AH36" s="44"/>
      <c r="AI36" s="44">
        <f>AI32</f>
        <v>5304762.46</v>
      </c>
      <c r="AJ36" s="44"/>
      <c r="AK36" s="44"/>
      <c r="AL36" s="44"/>
      <c r="AM36" s="44"/>
      <c r="AS36" s="44"/>
      <c r="AY36" s="44"/>
      <c r="BE36" s="44"/>
      <c r="BK36" s="44"/>
      <c r="BR36" s="44"/>
      <c r="BY36" s="44"/>
      <c r="CF36" s="44"/>
      <c r="CM36" s="44"/>
      <c r="CT36" s="44"/>
      <c r="DA36" s="44"/>
      <c r="DH36" s="44"/>
      <c r="DO36" s="44"/>
      <c r="DV36" s="44"/>
      <c r="EC36" s="44">
        <v>133557</v>
      </c>
    </row>
    <row r="37" spans="1:133" ht="12.75">
      <c r="A37" t="s">
        <v>229</v>
      </c>
      <c r="AH37" s="44"/>
      <c r="AI37" s="44"/>
      <c r="AJ37" s="44"/>
      <c r="AK37" s="44"/>
      <c r="AL37" s="44"/>
      <c r="AM37" s="44"/>
      <c r="AS37" s="44"/>
      <c r="AY37" s="44"/>
      <c r="BE37" s="44"/>
      <c r="BK37" s="44"/>
      <c r="BR37" s="44"/>
      <c r="BY37" s="44"/>
      <c r="CF37" s="44"/>
      <c r="CM37" s="44"/>
      <c r="CT37" s="44"/>
      <c r="DA37" s="44"/>
      <c r="DH37" s="44"/>
      <c r="DO37" s="44"/>
      <c r="DV37" s="44"/>
      <c r="EC37" s="44">
        <v>996119</v>
      </c>
    </row>
    <row r="38" spans="34:133" ht="12.75">
      <c r="AH38" s="44"/>
      <c r="AI38" s="44">
        <f>SUM(AI35:AI37)</f>
        <v>26866819.89</v>
      </c>
      <c r="AJ38" s="44"/>
      <c r="AK38" s="44"/>
      <c r="AL38" s="44"/>
      <c r="AM38" s="44"/>
      <c r="AS38" s="44"/>
      <c r="AY38" s="44"/>
      <c r="BE38" s="44"/>
      <c r="BK38" s="44"/>
      <c r="BR38" s="44"/>
      <c r="BY38" s="44"/>
      <c r="CF38" s="44"/>
      <c r="CM38" s="44"/>
      <c r="CT38" s="44"/>
      <c r="DA38" s="44"/>
      <c r="DH38" s="44"/>
      <c r="DO38" s="44"/>
      <c r="DV38" s="44"/>
      <c r="EC38" s="185">
        <v>2131756</v>
      </c>
    </row>
    <row r="39" spans="1:133" ht="12.75">
      <c r="A39" t="s">
        <v>230</v>
      </c>
      <c r="EC39" s="44">
        <v>552481.5</v>
      </c>
    </row>
    <row r="40" spans="1:133" ht="12.75">
      <c r="A40" s="183" t="s">
        <v>231</v>
      </c>
      <c r="EC40" s="185">
        <v>2684237.5</v>
      </c>
    </row>
    <row r="41" spans="1:133" ht="12.75">
      <c r="A41" t="s">
        <v>232</v>
      </c>
      <c r="EC41" s="44">
        <v>552481.5</v>
      </c>
    </row>
    <row r="42" spans="1:133" ht="12.75">
      <c r="A42" s="39" t="s">
        <v>233</v>
      </c>
      <c r="EC42" s="44">
        <v>-752816</v>
      </c>
    </row>
    <row r="43" spans="1:133" ht="12.75">
      <c r="A43" t="s">
        <v>234</v>
      </c>
      <c r="EC43" s="44">
        <v>1500000</v>
      </c>
    </row>
    <row r="44" spans="1:133" ht="12.75">
      <c r="A44" s="183" t="s">
        <v>235</v>
      </c>
      <c r="EC44" s="185">
        <v>3983903</v>
      </c>
    </row>
    <row r="45" spans="1:133" ht="12.75">
      <c r="A45" s="39" t="s">
        <v>256</v>
      </c>
      <c r="EC45" s="44">
        <v>552481.5</v>
      </c>
    </row>
    <row r="46" spans="1:133" ht="12.75">
      <c r="A46" s="39" t="s">
        <v>259</v>
      </c>
      <c r="EC46" s="44">
        <v>-719009</v>
      </c>
    </row>
    <row r="47" spans="1:133" ht="12.75">
      <c r="A47" t="s">
        <v>234</v>
      </c>
      <c r="EC47" s="44">
        <v>0</v>
      </c>
    </row>
    <row r="48" spans="1:133" ht="12.75">
      <c r="A48" s="183" t="s">
        <v>238</v>
      </c>
      <c r="EC48" s="185">
        <f>SUM(EC44:EC47)</f>
        <v>3817375.5</v>
      </c>
    </row>
    <row r="49" spans="1:136" ht="12.75">
      <c r="A49" s="39" t="s">
        <v>255</v>
      </c>
      <c r="EC49" s="44">
        <v>552481.5</v>
      </c>
      <c r="EE49" s="1" t="s">
        <v>257</v>
      </c>
      <c r="EF49" s="1"/>
    </row>
    <row r="50" spans="1:135" ht="12.75">
      <c r="A50" s="39" t="s">
        <v>260</v>
      </c>
      <c r="EC50" s="44">
        <v>-106806</v>
      </c>
      <c r="EE50" s="44">
        <f>EC36+EC42+EC46+EC50</f>
        <v>-1445074</v>
      </c>
    </row>
    <row r="51" spans="1:133" ht="12.75">
      <c r="A51" t="s">
        <v>234</v>
      </c>
      <c r="EC51" s="44">
        <v>0</v>
      </c>
    </row>
    <row r="52" spans="1:133" ht="12.75">
      <c r="A52" s="183" t="s">
        <v>254</v>
      </c>
      <c r="EC52" s="185">
        <f>SUM(EC48:EC51)</f>
        <v>4263051</v>
      </c>
    </row>
    <row r="53" spans="1:136" ht="12.75">
      <c r="A53" s="39" t="s">
        <v>258</v>
      </c>
      <c r="EC53" s="44">
        <v>552481.5</v>
      </c>
      <c r="EE53" s="1" t="s">
        <v>257</v>
      </c>
      <c r="EF53" s="1"/>
    </row>
    <row r="54" spans="1:135" ht="12.75">
      <c r="A54" s="39" t="s">
        <v>270</v>
      </c>
      <c r="EC54" s="44">
        <v>-378775.1</v>
      </c>
      <c r="EE54" s="44">
        <f>EC36+EC42+EC46+EC50+EC54</f>
        <v>-1823849.1</v>
      </c>
    </row>
    <row r="55" spans="1:133" ht="12.75">
      <c r="A55" t="s">
        <v>234</v>
      </c>
      <c r="EC55" s="44">
        <v>0</v>
      </c>
    </row>
    <row r="56" spans="1:133" ht="12.75">
      <c r="A56" s="183" t="s">
        <v>261</v>
      </c>
      <c r="EC56" s="185">
        <f>SUM(EC52:EC55)</f>
        <v>4436757.4</v>
      </c>
    </row>
    <row r="57" spans="1:136" ht="12.75">
      <c r="A57" s="39" t="s">
        <v>264</v>
      </c>
      <c r="EC57" s="44">
        <v>552481.5</v>
      </c>
      <c r="EE57" s="1" t="s">
        <v>257</v>
      </c>
      <c r="EF57" s="1"/>
    </row>
    <row r="58" spans="1:135" ht="12.75">
      <c r="A58" s="39" t="s">
        <v>270</v>
      </c>
      <c r="EC58" s="44">
        <v>-905345.74</v>
      </c>
      <c r="EE58" s="44">
        <f>EE54+EC58</f>
        <v>-2729194.84</v>
      </c>
    </row>
    <row r="59" spans="1:133" ht="12.75">
      <c r="A59" t="s">
        <v>234</v>
      </c>
      <c r="EC59" s="44">
        <v>0</v>
      </c>
    </row>
    <row r="60" spans="1:133" ht="12.75">
      <c r="A60" s="183" t="s">
        <v>262</v>
      </c>
      <c r="EC60" s="185">
        <f>SUM(EC56:EC59)</f>
        <v>4083893.16</v>
      </c>
    </row>
    <row r="61" spans="1:136" ht="12.75">
      <c r="A61" s="39" t="s">
        <v>265</v>
      </c>
      <c r="EC61" s="44">
        <v>552481.5</v>
      </c>
      <c r="EE61" s="1" t="s">
        <v>257</v>
      </c>
      <c r="EF61" s="1"/>
    </row>
    <row r="62" spans="1:135" ht="12.75">
      <c r="A62" s="39" t="s">
        <v>271</v>
      </c>
      <c r="EC62" s="44">
        <v>-459734.51</v>
      </c>
      <c r="EE62" s="44">
        <f>EE58+EC62</f>
        <v>-3188929.3499999996</v>
      </c>
    </row>
    <row r="63" spans="1:133" ht="12.75">
      <c r="A63" t="s">
        <v>234</v>
      </c>
      <c r="EC63" s="44">
        <v>0</v>
      </c>
    </row>
    <row r="64" spans="1:133" ht="12.75">
      <c r="A64" s="183" t="s">
        <v>268</v>
      </c>
      <c r="EC64" s="185">
        <f>SUM(EC60:EC63)</f>
        <v>4176640.1500000004</v>
      </c>
    </row>
    <row r="65" spans="1:136" ht="12.75">
      <c r="A65" s="39" t="s">
        <v>265</v>
      </c>
      <c r="EC65" s="44">
        <v>552481.5</v>
      </c>
      <c r="EE65" s="1" t="s">
        <v>257</v>
      </c>
      <c r="EF65" s="1"/>
    </row>
    <row r="66" spans="1:135" ht="12.75">
      <c r="A66" s="39" t="s">
        <v>270</v>
      </c>
      <c r="EC66" s="44">
        <v>-701884.54</v>
      </c>
      <c r="EE66" s="44">
        <f>EE62+EC66</f>
        <v>-3890813.8899999997</v>
      </c>
    </row>
    <row r="67" spans="1:133" ht="12.75">
      <c r="A67" t="s">
        <v>234</v>
      </c>
      <c r="EC67" s="44">
        <v>0</v>
      </c>
    </row>
    <row r="68" spans="1:133" ht="12.75">
      <c r="A68" s="183" t="s">
        <v>267</v>
      </c>
      <c r="EC68" s="185">
        <f>SUM(EC64:EC67)</f>
        <v>4027237.1100000003</v>
      </c>
    </row>
    <row r="69" spans="1:136" ht="12.75">
      <c r="A69" s="39" t="s">
        <v>269</v>
      </c>
      <c r="EC69" s="44">
        <v>552481.5</v>
      </c>
      <c r="EE69" s="1" t="s">
        <v>257</v>
      </c>
      <c r="EF69" s="1"/>
    </row>
    <row r="70" spans="1:135" ht="12.75">
      <c r="A70" s="39" t="s">
        <v>270</v>
      </c>
      <c r="EC70" s="44">
        <v>-721287.44</v>
      </c>
      <c r="EE70" s="44">
        <f>EE66+EC70</f>
        <v>-4612101.33</v>
      </c>
    </row>
    <row r="71" spans="1:133" ht="12.75">
      <c r="A71" t="s">
        <v>234</v>
      </c>
      <c r="EC71" s="44">
        <v>0</v>
      </c>
    </row>
    <row r="72" spans="1:133" ht="12.75">
      <c r="A72" s="183" t="s">
        <v>273</v>
      </c>
      <c r="EC72" s="185">
        <f>SUM(EC68:EC71)</f>
        <v>3858431.1700000004</v>
      </c>
    </row>
    <row r="73" spans="1:136" ht="12.75">
      <c r="A73" s="39" t="s">
        <v>275</v>
      </c>
      <c r="EC73" s="44">
        <v>552481.5</v>
      </c>
      <c r="EE73" s="1" t="s">
        <v>257</v>
      </c>
      <c r="EF73" s="1"/>
    </row>
    <row r="74" spans="1:135" ht="12.75">
      <c r="A74" s="39" t="s">
        <v>270</v>
      </c>
      <c r="EC74" s="44">
        <v>-731807.41</v>
      </c>
      <c r="EE74" s="44">
        <f>EE70+EC74</f>
        <v>-5343908.74</v>
      </c>
    </row>
    <row r="75" spans="1:133" ht="12.75">
      <c r="A75" t="s">
        <v>234</v>
      </c>
      <c r="EC75" s="44">
        <v>0</v>
      </c>
    </row>
    <row r="76" spans="1:133" ht="12.75">
      <c r="A76" s="183" t="s">
        <v>274</v>
      </c>
      <c r="EC76" s="185">
        <f>SUM(EC72:EC75)</f>
        <v>3679105.26</v>
      </c>
    </row>
    <row r="77" spans="1:136" ht="12.75">
      <c r="A77" s="39" t="s">
        <v>275</v>
      </c>
      <c r="EC77" s="44">
        <v>552481.5</v>
      </c>
      <c r="EE77" s="1" t="s">
        <v>257</v>
      </c>
      <c r="EF77" s="1"/>
    </row>
    <row r="78" spans="1:135" ht="12.75">
      <c r="A78" s="39" t="s">
        <v>270</v>
      </c>
      <c r="EC78" s="44">
        <v>-321144.28</v>
      </c>
      <c r="EE78" s="44">
        <f>EE74+EC78</f>
        <v>-5665053.0200000005</v>
      </c>
    </row>
    <row r="79" spans="1:133" ht="12.75">
      <c r="A79" t="s">
        <v>234</v>
      </c>
      <c r="EC79" s="44">
        <v>0</v>
      </c>
    </row>
    <row r="80" spans="1:133" ht="12.75">
      <c r="A80" s="183" t="s">
        <v>272</v>
      </c>
      <c r="EC80" s="185">
        <f>SUM(EC76:EC79)</f>
        <v>3910442.4799999995</v>
      </c>
    </row>
    <row r="81" spans="1:136" ht="12.75">
      <c r="A81" s="39" t="s">
        <v>275</v>
      </c>
      <c r="EC81" s="44">
        <v>552481.5</v>
      </c>
      <c r="EE81" s="1" t="s">
        <v>257</v>
      </c>
      <c r="EF81" s="1"/>
    </row>
    <row r="82" spans="1:135" ht="12.75">
      <c r="A82" s="39" t="s">
        <v>270</v>
      </c>
      <c r="EC82" s="44">
        <f>-1829469.96-154543.96</f>
        <v>-1984013.92</v>
      </c>
      <c r="EE82" s="44">
        <f>EE78+EC82</f>
        <v>-7649066.94</v>
      </c>
    </row>
    <row r="83" spans="1:133" ht="12.75">
      <c r="A83" t="s">
        <v>234</v>
      </c>
      <c r="EC83" s="44">
        <v>0</v>
      </c>
    </row>
    <row r="84" spans="1:133" ht="12.75">
      <c r="A84" s="183" t="s">
        <v>276</v>
      </c>
      <c r="EC84" s="185">
        <f>SUM(EC80:EC83)</f>
        <v>2478910.0599999996</v>
      </c>
    </row>
    <row r="85" spans="1:136" ht="12.75">
      <c r="A85" s="39" t="s">
        <v>275</v>
      </c>
      <c r="EC85" s="44">
        <v>2058484</v>
      </c>
      <c r="EE85" s="1" t="s">
        <v>257</v>
      </c>
      <c r="EF85" s="1"/>
    </row>
    <row r="86" spans="1:135" ht="12.75">
      <c r="A86" s="39" t="s">
        <v>270</v>
      </c>
      <c r="EC86" s="44">
        <v>-234681.55</v>
      </c>
      <c r="EE86" s="44">
        <f>EC86</f>
        <v>-234681.55</v>
      </c>
    </row>
    <row r="87" spans="1:133" ht="12.75">
      <c r="A87" t="s">
        <v>234</v>
      </c>
      <c r="EC87" s="44">
        <v>0</v>
      </c>
    </row>
    <row r="88" spans="1:133" ht="12.75">
      <c r="A88" s="183" t="s">
        <v>277</v>
      </c>
      <c r="EC88" s="185">
        <f>SUM(EC84:EC87)</f>
        <v>4302712.51</v>
      </c>
    </row>
    <row r="89" spans="1:136" ht="12.75">
      <c r="A89" s="39" t="s">
        <v>275</v>
      </c>
      <c r="EC89" s="44">
        <v>2058484</v>
      </c>
      <c r="EE89" s="1" t="s">
        <v>257</v>
      </c>
      <c r="EF89" s="1"/>
    </row>
    <row r="90" spans="1:135" ht="12.75">
      <c r="A90" s="39" t="s">
        <v>270</v>
      </c>
      <c r="EC90" s="44">
        <v>112078.7</v>
      </c>
      <c r="EE90" s="44">
        <f>EE86+EC90</f>
        <v>-122602.84999999999</v>
      </c>
    </row>
    <row r="91" spans="1:133" ht="12.75">
      <c r="A91" t="s">
        <v>234</v>
      </c>
      <c r="EC91" s="44">
        <v>0</v>
      </c>
    </row>
    <row r="92" spans="1:133" ht="12.75">
      <c r="A92" s="183" t="s">
        <v>282</v>
      </c>
      <c r="EC92" s="185">
        <f>SUM(EC88:EC91)</f>
        <v>6473275.21</v>
      </c>
    </row>
    <row r="93" spans="1:135" ht="12.75">
      <c r="A93" s="39" t="s">
        <v>275</v>
      </c>
      <c r="EC93" s="44">
        <v>2058484</v>
      </c>
      <c r="EE93" s="1" t="s">
        <v>257</v>
      </c>
    </row>
    <row r="94" spans="1:135" ht="12.75">
      <c r="A94" s="39" t="s">
        <v>270</v>
      </c>
      <c r="EC94" s="44">
        <v>-247235.5</v>
      </c>
      <c r="EE94" s="44">
        <f>EE90+EC94</f>
        <v>-369838.35</v>
      </c>
    </row>
    <row r="95" spans="1:133" ht="12.75">
      <c r="A95" t="s">
        <v>234</v>
      </c>
      <c r="EC95" s="44">
        <v>0</v>
      </c>
    </row>
    <row r="96" spans="1:133" ht="12.75">
      <c r="A96" s="183" t="s">
        <v>283</v>
      </c>
      <c r="EC96" s="185">
        <f>SUM(EC92:EC95)</f>
        <v>8284523.710000001</v>
      </c>
    </row>
    <row r="97" spans="1:135" ht="12.75">
      <c r="A97" s="39" t="s">
        <v>275</v>
      </c>
      <c r="EC97" s="44">
        <v>2058484</v>
      </c>
      <c r="EE97" s="1" t="s">
        <v>257</v>
      </c>
    </row>
    <row r="98" spans="1:135" ht="12.75">
      <c r="A98" s="39" t="s">
        <v>270</v>
      </c>
      <c r="EC98" s="44">
        <v>-349470.59</v>
      </c>
      <c r="EE98" s="44">
        <f>EE94+EC98</f>
        <v>-719308.94</v>
      </c>
    </row>
    <row r="99" spans="1:133" ht="12.75">
      <c r="A99" t="s">
        <v>234</v>
      </c>
      <c r="EC99" s="44">
        <v>0</v>
      </c>
    </row>
    <row r="100" spans="1:133" ht="12.75">
      <c r="A100" s="183" t="s">
        <v>284</v>
      </c>
      <c r="EC100" s="185">
        <f>SUM(EC96:EC99)</f>
        <v>9993537.120000001</v>
      </c>
    </row>
    <row r="101" spans="1:135" ht="12.75">
      <c r="A101" s="39" t="s">
        <v>275</v>
      </c>
      <c r="EC101" s="44">
        <v>2058484</v>
      </c>
      <c r="EE101" s="1" t="s">
        <v>257</v>
      </c>
    </row>
    <row r="102" spans="1:135" ht="12.75">
      <c r="A102" s="39" t="s">
        <v>270</v>
      </c>
      <c r="EC102" s="44">
        <v>-1624973.42</v>
      </c>
      <c r="EE102" s="44">
        <f>EE98+EC102</f>
        <v>-2344282.36</v>
      </c>
    </row>
    <row r="103" spans="1:133" ht="12.75">
      <c r="A103" t="s">
        <v>234</v>
      </c>
      <c r="EC103" s="44">
        <v>0</v>
      </c>
    </row>
    <row r="104" spans="1:133" ht="12.75">
      <c r="A104" s="183" t="s">
        <v>289</v>
      </c>
      <c r="EC104" s="185">
        <f>SUM(EC100:EC103)</f>
        <v>10427047.700000001</v>
      </c>
    </row>
    <row r="105" spans="1:135" ht="12.75">
      <c r="A105" s="39" t="s">
        <v>275</v>
      </c>
      <c r="EC105" s="44">
        <v>2058484</v>
      </c>
      <c r="EE105" s="1" t="s">
        <v>257</v>
      </c>
    </row>
    <row r="106" spans="1:135" ht="12.75">
      <c r="A106" s="39" t="s">
        <v>270</v>
      </c>
      <c r="EC106" s="44">
        <v>-795628.7</v>
      </c>
      <c r="EE106" s="44">
        <f>EE102+EC106</f>
        <v>-3139911.0599999996</v>
      </c>
    </row>
    <row r="107" spans="1:133" ht="12.75">
      <c r="A107" t="s">
        <v>234</v>
      </c>
      <c r="EC107" s="44">
        <v>0</v>
      </c>
    </row>
    <row r="108" spans="1:133" ht="12.75">
      <c r="A108" s="183" t="s">
        <v>290</v>
      </c>
      <c r="EC108" s="185">
        <f>SUM(EC104:EC107)</f>
        <v>11689903.000000002</v>
      </c>
    </row>
    <row r="109" spans="1:135" ht="12.75">
      <c r="A109" s="39" t="s">
        <v>275</v>
      </c>
      <c r="EC109" s="44">
        <v>2058484</v>
      </c>
      <c r="EE109" s="1" t="s">
        <v>257</v>
      </c>
    </row>
    <row r="110" spans="1:135" ht="12.75">
      <c r="A110" s="39" t="s">
        <v>270</v>
      </c>
      <c r="EC110" s="44">
        <v>-448147.32</v>
      </c>
      <c r="EE110" s="44">
        <f>EE106+EC110</f>
        <v>-3588058.3799999994</v>
      </c>
    </row>
    <row r="111" spans="1:133" ht="12.75">
      <c r="A111" t="s">
        <v>234</v>
      </c>
      <c r="EC111" s="44">
        <v>0</v>
      </c>
    </row>
    <row r="112" spans="1:133" ht="12.75">
      <c r="A112" s="183" t="s">
        <v>292</v>
      </c>
      <c r="EC112" s="185">
        <f>SUM(EC108:EC111)</f>
        <v>13300239.680000002</v>
      </c>
    </row>
    <row r="113" spans="1:135" ht="12.75">
      <c r="A113" s="39" t="s">
        <v>275</v>
      </c>
      <c r="EC113" s="44">
        <v>2058484</v>
      </c>
      <c r="EE113" s="1" t="s">
        <v>257</v>
      </c>
    </row>
    <row r="114" spans="1:135" ht="12.75">
      <c r="A114" s="39" t="s">
        <v>270</v>
      </c>
      <c r="EC114" s="44">
        <v>-728279.23</v>
      </c>
      <c r="EE114" s="44">
        <f>EE110+EC114</f>
        <v>-4316337.609999999</v>
      </c>
    </row>
    <row r="115" spans="1:133" ht="12.75">
      <c r="A115" t="s">
        <v>234</v>
      </c>
      <c r="EC115" s="44">
        <v>0</v>
      </c>
    </row>
    <row r="116" spans="1:133" ht="12.75">
      <c r="A116" s="183" t="s">
        <v>294</v>
      </c>
      <c r="EC116" s="185">
        <f>SUM(EC112:EC115)</f>
        <v>14630444.450000001</v>
      </c>
    </row>
    <row r="117" spans="1:135" ht="12.75">
      <c r="A117" s="39" t="s">
        <v>275</v>
      </c>
      <c r="EC117" s="44">
        <v>2058484</v>
      </c>
      <c r="EE117" s="1" t="s">
        <v>257</v>
      </c>
    </row>
    <row r="118" spans="1:135" ht="12.75">
      <c r="A118" s="39" t="s">
        <v>270</v>
      </c>
      <c r="EC118" s="44">
        <v>-1570430.8</v>
      </c>
      <c r="EE118" s="44">
        <f>EE114+EC118</f>
        <v>-5886768.409999999</v>
      </c>
    </row>
    <row r="119" spans="1:133" ht="12.75">
      <c r="A119" t="s">
        <v>234</v>
      </c>
      <c r="EC119" s="44">
        <v>0</v>
      </c>
    </row>
    <row r="120" spans="1:133" ht="12.75">
      <c r="A120" s="183" t="s">
        <v>297</v>
      </c>
      <c r="EC120" s="185">
        <f>SUM(EC116:EC119)</f>
        <v>15118497.65</v>
      </c>
    </row>
    <row r="121" spans="1:135" ht="12.75">
      <c r="A121" s="39" t="s">
        <v>275</v>
      </c>
      <c r="EC121" s="44">
        <v>-1792205.3</v>
      </c>
      <c r="EE121" s="1" t="s">
        <v>257</v>
      </c>
    </row>
    <row r="122" spans="1:135" ht="12.75">
      <c r="A122" s="39" t="s">
        <v>270</v>
      </c>
      <c r="EC122" s="44">
        <v>-2712984.91</v>
      </c>
      <c r="EE122" s="44">
        <f>EE118+EC122</f>
        <v>-8599753.32</v>
      </c>
    </row>
    <row r="123" spans="1:133" ht="12.75">
      <c r="A123" t="s">
        <v>234</v>
      </c>
      <c r="EC123" s="44">
        <v>0</v>
      </c>
    </row>
    <row r="124" spans="1:133" ht="12.75">
      <c r="A124" s="183" t="s">
        <v>298</v>
      </c>
      <c r="EC124" s="185">
        <f>SUM(EC120:EC123)</f>
        <v>10613307.44</v>
      </c>
    </row>
    <row r="125" spans="1:135" ht="12.75">
      <c r="A125" s="39" t="s">
        <v>275</v>
      </c>
      <c r="EC125" s="44">
        <v>1467581.3</v>
      </c>
      <c r="EE125" s="1" t="s">
        <v>257</v>
      </c>
    </row>
    <row r="126" spans="1:135" ht="12.75">
      <c r="A126" s="39" t="s">
        <v>270</v>
      </c>
      <c r="EC126" s="44">
        <v>-2451670.86</v>
      </c>
      <c r="EE126" s="44">
        <f>EE122+EC126</f>
        <v>-11051424.18</v>
      </c>
    </row>
    <row r="127" spans="1:133" ht="12.75">
      <c r="A127" t="s">
        <v>234</v>
      </c>
      <c r="EC127" s="44">
        <v>0</v>
      </c>
    </row>
    <row r="128" spans="1:133" ht="12.75">
      <c r="A128" s="183" t="s">
        <v>303</v>
      </c>
      <c r="EC128" s="185">
        <f>SUM(EC124:EC127)</f>
        <v>9629217.88</v>
      </c>
    </row>
    <row r="129" spans="1:135" ht="12.75">
      <c r="A129" s="39" t="s">
        <v>275</v>
      </c>
      <c r="EC129" s="44">
        <v>1467581.3</v>
      </c>
      <c r="EE129" s="1" t="s">
        <v>257</v>
      </c>
    </row>
    <row r="130" spans="1:135" ht="12.75">
      <c r="A130" s="39" t="s">
        <v>270</v>
      </c>
      <c r="EC130" s="44">
        <v>-4121542.21</v>
      </c>
      <c r="EE130" s="44">
        <f>EE126+EC130</f>
        <v>-15172966.39</v>
      </c>
    </row>
    <row r="131" spans="1:133" ht="12.75">
      <c r="A131" t="s">
        <v>234</v>
      </c>
      <c r="EC131" s="44">
        <v>0</v>
      </c>
    </row>
    <row r="132" spans="1:135" ht="12.75">
      <c r="A132" s="183" t="s">
        <v>304</v>
      </c>
      <c r="EC132" s="185">
        <v>2817804</v>
      </c>
      <c r="ED132" s="184" t="s">
        <v>326</v>
      </c>
      <c r="EE132" s="184"/>
    </row>
    <row r="133" spans="1:135" ht="12.75">
      <c r="A133" s="39" t="s">
        <v>275</v>
      </c>
      <c r="EC133" s="44">
        <v>1454833.75</v>
      </c>
      <c r="EE133" s="1" t="s">
        <v>257</v>
      </c>
    </row>
    <row r="134" spans="1:135" ht="12.75">
      <c r="A134" s="39" t="s">
        <v>270</v>
      </c>
      <c r="EC134" s="44">
        <v>-25270.24</v>
      </c>
      <c r="EE134" s="44">
        <f>EC134</f>
        <v>-25270.24</v>
      </c>
    </row>
    <row r="135" spans="1:133" ht="12.75">
      <c r="A135" t="s">
        <v>234</v>
      </c>
      <c r="EC135" s="44">
        <v>0</v>
      </c>
    </row>
    <row r="136" spans="1:133" ht="12.75">
      <c r="A136" s="183" t="s">
        <v>306</v>
      </c>
      <c r="EC136" s="185">
        <f>SUM(EC132:EC135)</f>
        <v>4247367.51</v>
      </c>
    </row>
    <row r="137" spans="1:135" ht="12.75">
      <c r="A137" s="39" t="s">
        <v>275</v>
      </c>
      <c r="EC137" s="44">
        <v>1454833.75</v>
      </c>
      <c r="EE137" s="1" t="s">
        <v>257</v>
      </c>
    </row>
    <row r="138" spans="1:135" ht="12.75">
      <c r="A138" s="39" t="s">
        <v>270</v>
      </c>
      <c r="EC138" s="44">
        <v>-34928.09</v>
      </c>
      <c r="EE138" s="44">
        <f>EE134+EC138</f>
        <v>-60198.33</v>
      </c>
    </row>
    <row r="139" spans="1:133" ht="12.75">
      <c r="A139" t="s">
        <v>234</v>
      </c>
      <c r="EC139" s="44">
        <v>0</v>
      </c>
    </row>
    <row r="140" spans="1:133" ht="12.75">
      <c r="A140" s="183" t="s">
        <v>309</v>
      </c>
      <c r="EC140" s="185">
        <f>SUM(EC136:EC139)</f>
        <v>5667273.17</v>
      </c>
    </row>
    <row r="141" spans="1:135" ht="12.75">
      <c r="A141" s="39" t="s">
        <v>275</v>
      </c>
      <c r="EC141" s="44">
        <v>1454833.75</v>
      </c>
      <c r="EE141" s="1" t="s">
        <v>257</v>
      </c>
    </row>
    <row r="142" spans="1:135" ht="12.75">
      <c r="A142" s="39" t="s">
        <v>270</v>
      </c>
      <c r="EC142" s="44">
        <v>-890235.91</v>
      </c>
      <c r="EE142" s="44">
        <f>EE138+EC142</f>
        <v>-950434.24</v>
      </c>
    </row>
    <row r="143" spans="1:133" ht="12.75">
      <c r="A143" t="s">
        <v>234</v>
      </c>
      <c r="EC143" s="44">
        <v>0</v>
      </c>
    </row>
    <row r="144" spans="1:133" ht="12.75">
      <c r="A144" s="183" t="s">
        <v>312</v>
      </c>
      <c r="EC144" s="185">
        <f>SUM(EC140:EC143)</f>
        <v>6231871.01</v>
      </c>
    </row>
    <row r="145" spans="1:135" ht="12.75">
      <c r="A145" s="39" t="s">
        <v>275</v>
      </c>
      <c r="EC145" s="44">
        <v>1454833.75</v>
      </c>
      <c r="EE145" s="1" t="s">
        <v>257</v>
      </c>
    </row>
    <row r="146" spans="1:135" ht="12.75">
      <c r="A146" s="39" t="s">
        <v>270</v>
      </c>
      <c r="EC146" s="44">
        <v>-1570855.3</v>
      </c>
      <c r="EE146" s="44">
        <f>EE142+EC146</f>
        <v>-2521289.54</v>
      </c>
    </row>
    <row r="147" spans="1:133" ht="12.75">
      <c r="A147" t="s">
        <v>234</v>
      </c>
      <c r="EC147" s="44">
        <v>0</v>
      </c>
    </row>
    <row r="148" spans="1:133" ht="12.75">
      <c r="A148" s="183" t="s">
        <v>314</v>
      </c>
      <c r="EC148" s="185">
        <f>SUM(EC144:EC147)</f>
        <v>6115849.46</v>
      </c>
    </row>
    <row r="149" spans="1:135" ht="12.75">
      <c r="A149" s="39" t="s">
        <v>275</v>
      </c>
      <c r="EC149" s="44">
        <v>1454833.75</v>
      </c>
      <c r="EE149" s="1" t="s">
        <v>257</v>
      </c>
    </row>
    <row r="150" spans="1:135" ht="12.75">
      <c r="A150" s="39" t="s">
        <v>270</v>
      </c>
      <c r="EC150" s="44">
        <v>-30556.79</v>
      </c>
      <c r="EE150" s="44">
        <f>EE146+EC150</f>
        <v>-2551846.33</v>
      </c>
    </row>
    <row r="151" spans="1:139" ht="12.75">
      <c r="A151" t="s">
        <v>234</v>
      </c>
      <c r="EC151" s="44">
        <v>0</v>
      </c>
      <c r="EH151" t="s">
        <v>323</v>
      </c>
      <c r="EI151" s="44">
        <v>4919810</v>
      </c>
    </row>
    <row r="152" spans="1:139" ht="12.75">
      <c r="A152" s="183" t="s">
        <v>316</v>
      </c>
      <c r="EC152" s="185">
        <f>SUM(EC148:EC151)</f>
        <v>7540126.42</v>
      </c>
      <c r="EH152" s="39" t="s">
        <v>324</v>
      </c>
      <c r="EI152" s="252">
        <v>15355999</v>
      </c>
    </row>
    <row r="153" spans="1:139" ht="12.75">
      <c r="A153" s="39" t="s">
        <v>275</v>
      </c>
      <c r="EC153" s="44">
        <v>1454833.75</v>
      </c>
      <c r="EE153" s="1" t="s">
        <v>257</v>
      </c>
      <c r="EI153" s="44">
        <f>SUM(EI151:EI152)</f>
        <v>20275809</v>
      </c>
    </row>
    <row r="154" spans="1:139" ht="12.75">
      <c r="A154" s="39" t="s">
        <v>270</v>
      </c>
      <c r="EC154" s="44">
        <v>-208676.69</v>
      </c>
      <c r="EE154" s="44">
        <f>EE150+EC154</f>
        <v>-2760523.02</v>
      </c>
      <c r="EH154" s="39" t="s">
        <v>325</v>
      </c>
      <c r="EI154" s="252">
        <v>-17458005</v>
      </c>
    </row>
    <row r="155" spans="1:139" ht="12.75">
      <c r="A155" t="s">
        <v>234</v>
      </c>
      <c r="EC155" s="44">
        <v>0</v>
      </c>
      <c r="EI155" s="44">
        <f>SUM(EI153:EI154)</f>
        <v>2817804</v>
      </c>
    </row>
    <row r="156" spans="1:133" ht="12.75">
      <c r="A156" s="183" t="s">
        <v>318</v>
      </c>
      <c r="EC156" s="185">
        <f>SUM(EC152:EC155)</f>
        <v>8786283.48</v>
      </c>
    </row>
    <row r="157" spans="1:135" ht="12.75">
      <c r="A157" s="39" t="s">
        <v>275</v>
      </c>
      <c r="EC157" s="44">
        <v>1454833.75</v>
      </c>
      <c r="EE157" s="1" t="s">
        <v>257</v>
      </c>
    </row>
    <row r="158" spans="1:135" ht="12.75">
      <c r="A158" s="39" t="s">
        <v>270</v>
      </c>
      <c r="EC158" s="44">
        <v>-1066557.52</v>
      </c>
      <c r="EE158" s="44">
        <f>EE154+EC158</f>
        <v>-3827080.54</v>
      </c>
    </row>
    <row r="159" spans="1:139" ht="12.75">
      <c r="A159" t="s">
        <v>234</v>
      </c>
      <c r="EC159" s="44">
        <v>0</v>
      </c>
      <c r="EH159" s="39"/>
      <c r="EI159" s="252"/>
    </row>
    <row r="160" spans="1:133" ht="12.75">
      <c r="A160" s="183" t="s">
        <v>320</v>
      </c>
      <c r="EC160" s="185">
        <f>SUM(EC156:EC159)</f>
        <v>9174559.71</v>
      </c>
    </row>
    <row r="161" spans="1:135" ht="12.75">
      <c r="A161" s="39" t="s">
        <v>275</v>
      </c>
      <c r="EC161" s="44">
        <v>1454833.75</v>
      </c>
      <c r="EE161" s="1" t="s">
        <v>257</v>
      </c>
    </row>
    <row r="162" spans="1:135" ht="12.75">
      <c r="A162" s="39" t="s">
        <v>270</v>
      </c>
      <c r="EC162" s="44">
        <v>-944716.68</v>
      </c>
      <c r="EE162" s="44">
        <f>EE158+EC162</f>
        <v>-4771797.22</v>
      </c>
    </row>
    <row r="163" spans="1:139" ht="12.75">
      <c r="A163" t="s">
        <v>234</v>
      </c>
      <c r="EC163" s="44">
        <v>0</v>
      </c>
      <c r="EH163" s="39"/>
      <c r="EI163" s="252"/>
    </row>
    <row r="164" spans="1:133" ht="12.75">
      <c r="A164" s="183" t="s">
        <v>329</v>
      </c>
      <c r="EC164" s="185">
        <f>SUM(EC160:EC163)</f>
        <v>9684676.780000001</v>
      </c>
    </row>
    <row r="165" spans="1:135" ht="12.75">
      <c r="A165" s="39" t="s">
        <v>275</v>
      </c>
      <c r="EC165" s="44">
        <v>1454833.75</v>
      </c>
      <c r="EE165" s="1" t="s">
        <v>257</v>
      </c>
    </row>
    <row r="166" spans="1:135" ht="12.75">
      <c r="A166" s="39" t="s">
        <v>270</v>
      </c>
      <c r="EC166" s="44">
        <v>-149179.33</v>
      </c>
      <c r="EE166" s="44">
        <f>EE162+EC166</f>
        <v>-4920976.55</v>
      </c>
    </row>
    <row r="167" spans="1:139" ht="12.75">
      <c r="A167" t="s">
        <v>234</v>
      </c>
      <c r="EC167" s="44">
        <v>0</v>
      </c>
      <c r="EH167" s="39"/>
      <c r="EI167" s="252"/>
    </row>
    <row r="168" spans="1:133" ht="12.75">
      <c r="A168" s="183" t="s">
        <v>330</v>
      </c>
      <c r="EC168" s="185">
        <f>SUM(EC164:EC167)</f>
        <v>10990331.200000001</v>
      </c>
    </row>
    <row r="169" spans="1:135" ht="12.75">
      <c r="A169" s="39" t="s">
        <v>275</v>
      </c>
      <c r="EC169" s="44">
        <v>1454833.75</v>
      </c>
      <c r="EE169" s="1" t="s">
        <v>257</v>
      </c>
    </row>
    <row r="170" spans="1:135" ht="12.75">
      <c r="A170" s="39" t="s">
        <v>270</v>
      </c>
      <c r="EC170" s="44">
        <v>-97586.47</v>
      </c>
      <c r="EE170" s="44">
        <f>EE166+EC170</f>
        <v>-5018563.02</v>
      </c>
    </row>
    <row r="171" spans="1:139" ht="12.75">
      <c r="A171" t="s">
        <v>234</v>
      </c>
      <c r="EC171" s="44">
        <v>0</v>
      </c>
      <c r="EH171" s="39"/>
      <c r="EI171" s="252"/>
    </row>
    <row r="172" spans="1:133" ht="12.75">
      <c r="A172" s="183" t="s">
        <v>338</v>
      </c>
      <c r="EC172" s="185">
        <f>SUM(EC168:EC171)</f>
        <v>12347578.48</v>
      </c>
    </row>
    <row r="173" spans="1:135" ht="12.75">
      <c r="A173" s="39" t="s">
        <v>275</v>
      </c>
      <c r="EC173" s="44">
        <v>1454833.75</v>
      </c>
      <c r="EE173" s="1" t="s">
        <v>257</v>
      </c>
    </row>
    <row r="174" spans="1:135" ht="12.75">
      <c r="A174" s="39" t="s">
        <v>270</v>
      </c>
      <c r="EC174" s="44">
        <v>-1539537.92</v>
      </c>
      <c r="EE174" s="44">
        <f>EE170+EC174</f>
        <v>-6558100.9399999995</v>
      </c>
    </row>
    <row r="175" spans="1:139" ht="12.75">
      <c r="A175" t="s">
        <v>234</v>
      </c>
      <c r="EC175" s="44">
        <v>0</v>
      </c>
      <c r="EH175" s="39"/>
      <c r="EI175" s="252"/>
    </row>
    <row r="176" spans="1:133" ht="12.75">
      <c r="A176" s="183" t="s">
        <v>335</v>
      </c>
      <c r="EC176" s="185">
        <f>SUM(EC172:EC175)</f>
        <v>12262874.31</v>
      </c>
    </row>
    <row r="177" spans="1:135" ht="12.75">
      <c r="A177" s="39" t="s">
        <v>275</v>
      </c>
      <c r="EC177" s="44">
        <f>1454833.75+5755033</f>
        <v>7209866.75</v>
      </c>
      <c r="EE177" s="1" t="s">
        <v>257</v>
      </c>
    </row>
    <row r="178" spans="1:135" ht="12.75">
      <c r="A178" s="39" t="s">
        <v>270</v>
      </c>
      <c r="EC178" s="44">
        <f>-6142165.88-101090.62+5060.18</f>
        <v>-6238196.32</v>
      </c>
      <c r="EE178" s="44">
        <f>EE174+EC178</f>
        <v>-12796297.26</v>
      </c>
    </row>
    <row r="179" spans="1:139" ht="12.75">
      <c r="A179" t="s">
        <v>234</v>
      </c>
      <c r="EC179" s="44">
        <v>0</v>
      </c>
      <c r="EH179" s="39"/>
      <c r="EI179" s="252"/>
    </row>
    <row r="180" spans="1:133" ht="12.75">
      <c r="A180" s="183" t="s">
        <v>339</v>
      </c>
      <c r="EC180" s="185">
        <f>SUM(EC176:EC179)+4969113.2</f>
        <v>18203657.94</v>
      </c>
    </row>
    <row r="181" spans="1:135" ht="12.75">
      <c r="A181" s="39" t="s">
        <v>275</v>
      </c>
      <c r="EC181" s="44">
        <v>313583.5</v>
      </c>
      <c r="EE181" s="1" t="s">
        <v>257</v>
      </c>
    </row>
    <row r="182" spans="1:135" ht="12.75">
      <c r="A182" s="39" t="s">
        <v>270</v>
      </c>
      <c r="EC182" s="44">
        <v>0</v>
      </c>
      <c r="EE182" s="44">
        <f>EC182</f>
        <v>0</v>
      </c>
    </row>
    <row r="183" spans="1:139" ht="12.75">
      <c r="A183" t="s">
        <v>234</v>
      </c>
      <c r="EC183" s="44">
        <v>0</v>
      </c>
      <c r="EH183" s="39"/>
      <c r="EI183" s="252"/>
    </row>
    <row r="184" spans="1:133" ht="12.75">
      <c r="A184" s="183" t="s">
        <v>341</v>
      </c>
      <c r="EC184" s="185">
        <f>SUM(EC180:EC183)</f>
        <v>18517241.44</v>
      </c>
    </row>
    <row r="185" spans="1:135" ht="12.75">
      <c r="A185" s="39" t="s">
        <v>275</v>
      </c>
      <c r="EC185" s="44">
        <v>313583.5</v>
      </c>
      <c r="EE185" s="1" t="s">
        <v>257</v>
      </c>
    </row>
    <row r="186" spans="1:135" ht="12.75">
      <c r="A186" s="39" t="s">
        <v>270</v>
      </c>
      <c r="EC186" s="44">
        <v>-96888.42</v>
      </c>
      <c r="EE186" s="44">
        <f>EC186</f>
        <v>-96888.42</v>
      </c>
    </row>
    <row r="187" spans="1:139" ht="12.75">
      <c r="A187" t="s">
        <v>234</v>
      </c>
      <c r="EC187" s="44">
        <v>0</v>
      </c>
      <c r="EH187" s="39"/>
      <c r="EI187" s="252"/>
    </row>
    <row r="188" spans="1:133" ht="15" customHeight="1">
      <c r="A188" s="183" t="s">
        <v>342</v>
      </c>
      <c r="EC188" s="185">
        <f>SUM(EC184:EC187)</f>
        <v>18733936.52</v>
      </c>
    </row>
    <row r="189" spans="1:135" ht="12.75">
      <c r="A189" s="39" t="s">
        <v>275</v>
      </c>
      <c r="EC189" s="44">
        <v>313583.5</v>
      </c>
      <c r="EE189" s="1" t="s">
        <v>257</v>
      </c>
    </row>
    <row r="190" spans="1:135" ht="12.75">
      <c r="A190" s="39" t="s">
        <v>270</v>
      </c>
      <c r="EC190" s="44">
        <v>-325174.6</v>
      </c>
      <c r="EE190" s="44">
        <f>EC190+EE186</f>
        <v>-422063.01999999996</v>
      </c>
    </row>
    <row r="191" spans="1:139" ht="12.75">
      <c r="A191" t="s">
        <v>234</v>
      </c>
      <c r="EC191" s="44">
        <v>0</v>
      </c>
      <c r="EH191" s="39"/>
      <c r="EI191" s="252"/>
    </row>
    <row r="192" spans="1:133" ht="12.75">
      <c r="A192" s="183" t="s">
        <v>346</v>
      </c>
      <c r="EC192" s="185">
        <f>SUM(EC188:EC191)</f>
        <v>18722345.419999998</v>
      </c>
    </row>
    <row r="193" spans="1:135" ht="12.75">
      <c r="A193" s="39" t="s">
        <v>275</v>
      </c>
      <c r="EC193" s="44">
        <v>313583.5</v>
      </c>
      <c r="EE193" s="1" t="s">
        <v>257</v>
      </c>
    </row>
    <row r="194" spans="1:135" ht="12.75">
      <c r="A194" s="39" t="s">
        <v>270</v>
      </c>
      <c r="EC194" s="44">
        <v>-2073867.41</v>
      </c>
      <c r="EE194" s="44">
        <f>EC194+EE190</f>
        <v>-2495930.4299999997</v>
      </c>
    </row>
    <row r="195" spans="1:139" ht="12.75">
      <c r="A195" t="s">
        <v>234</v>
      </c>
      <c r="EC195" s="44">
        <v>0</v>
      </c>
      <c r="EH195" s="39"/>
      <c r="EI195" s="252"/>
    </row>
    <row r="196" spans="1:133" ht="12.75">
      <c r="A196" s="183" t="s">
        <v>348</v>
      </c>
      <c r="EC196" s="185">
        <f>SUM(EC192:EC195)</f>
        <v>16962061.509999998</v>
      </c>
    </row>
    <row r="197" spans="1:135" ht="12.75">
      <c r="A197" s="39" t="s">
        <v>275</v>
      </c>
      <c r="EC197" s="44">
        <v>313583.5</v>
      </c>
      <c r="EE197" s="1" t="s">
        <v>257</v>
      </c>
    </row>
    <row r="198" spans="1:135" ht="12.75">
      <c r="A198" s="39" t="s">
        <v>270</v>
      </c>
      <c r="EC198" s="44">
        <v>-738360.37</v>
      </c>
      <c r="EE198" s="44">
        <f>EC198+EE194</f>
        <v>-3234290.8</v>
      </c>
    </row>
    <row r="199" spans="1:139" ht="12.75">
      <c r="A199" t="s">
        <v>234</v>
      </c>
      <c r="EC199" s="44">
        <v>0</v>
      </c>
      <c r="EH199" s="39"/>
      <c r="EI199" s="252"/>
    </row>
    <row r="200" spans="1:133" ht="12.75">
      <c r="A200" s="183" t="s">
        <v>353</v>
      </c>
      <c r="EC200" s="185">
        <f>SUM(EC196:EC199)</f>
        <v>16537284.639999999</v>
      </c>
    </row>
    <row r="201" spans="1:135" ht="12.75">
      <c r="A201" s="39" t="s">
        <v>275</v>
      </c>
      <c r="EC201" s="44">
        <v>313583.5</v>
      </c>
      <c r="EE201" s="1" t="s">
        <v>257</v>
      </c>
    </row>
    <row r="202" spans="1:135" ht="12.75">
      <c r="A202" s="39" t="s">
        <v>270</v>
      </c>
      <c r="EC202" s="44">
        <v>-564834.63</v>
      </c>
      <c r="EE202" s="44">
        <f>EC202+EE198</f>
        <v>-3799125.4299999997</v>
      </c>
    </row>
    <row r="203" spans="1:139" ht="12.75">
      <c r="A203" t="s">
        <v>234</v>
      </c>
      <c r="EC203" s="44">
        <v>0</v>
      </c>
      <c r="EH203" s="39"/>
      <c r="EI203" s="252"/>
    </row>
    <row r="204" spans="1:133" ht="12.75">
      <c r="A204" s="183" t="s">
        <v>352</v>
      </c>
      <c r="EC204" s="185">
        <f>SUM(EC200:EC203)</f>
        <v>16286033.51</v>
      </c>
    </row>
    <row r="205" spans="1:135" ht="12.75">
      <c r="A205" s="39" t="s">
        <v>275</v>
      </c>
      <c r="EC205" s="44">
        <v>313583.5</v>
      </c>
      <c r="EE205" s="1" t="s">
        <v>257</v>
      </c>
    </row>
    <row r="206" spans="1:135" ht="12.75">
      <c r="A206" s="39" t="s">
        <v>270</v>
      </c>
      <c r="EC206" s="44">
        <v>-423593.47</v>
      </c>
      <c r="EE206" s="44">
        <f>EC206+EE202</f>
        <v>-4222718.899999999</v>
      </c>
    </row>
    <row r="207" spans="1:139" ht="12.75">
      <c r="A207" t="s">
        <v>234</v>
      </c>
      <c r="EC207" s="44">
        <v>0</v>
      </c>
      <c r="EH207" s="39"/>
      <c r="EI207" s="252"/>
    </row>
    <row r="208" spans="1:133" ht="14.25" customHeight="1">
      <c r="A208" s="183" t="s">
        <v>356</v>
      </c>
      <c r="EC208" s="185">
        <f>SUM(EC204:EC207)</f>
        <v>16176023.54</v>
      </c>
    </row>
    <row r="209" spans="1:138" ht="12.75">
      <c r="A209" s="39" t="s">
        <v>275</v>
      </c>
      <c r="EC209" s="44">
        <v>11838229.18</v>
      </c>
      <c r="EE209" s="1" t="s">
        <v>257</v>
      </c>
      <c r="EH209" s="39" t="s">
        <v>359</v>
      </c>
    </row>
    <row r="210" spans="1:139" ht="12.75">
      <c r="A210" s="39" t="s">
        <v>270</v>
      </c>
      <c r="EC210" s="44">
        <v>-692958.74</v>
      </c>
      <c r="EE210" s="44">
        <f>EC210+EE206</f>
        <v>-4915677.64</v>
      </c>
      <c r="EH210">
        <v>3367196.08</v>
      </c>
      <c r="EI210" s="44">
        <f>EE210+EH210</f>
        <v>-1548481.5599999996</v>
      </c>
    </row>
    <row r="211" spans="1:139" ht="12.75">
      <c r="A211" t="s">
        <v>234</v>
      </c>
      <c r="EC211" s="44">
        <v>0</v>
      </c>
      <c r="EH211" s="39"/>
      <c r="EI211" s="252"/>
    </row>
    <row r="212" spans="1:133" ht="12.75">
      <c r="A212" s="183" t="s">
        <v>358</v>
      </c>
      <c r="EC212" s="185">
        <f>SUM(EC208:EC211)</f>
        <v>27321293.98</v>
      </c>
    </row>
    <row r="213" spans="1:138" ht="12.75">
      <c r="A213" s="39" t="s">
        <v>275</v>
      </c>
      <c r="EC213" s="213">
        <v>1754164.21</v>
      </c>
      <c r="EE213" s="1" t="s">
        <v>257</v>
      </c>
      <c r="EH213" s="39" t="s">
        <v>359</v>
      </c>
    </row>
    <row r="214" spans="1:139" ht="12.75">
      <c r="A214" s="39" t="s">
        <v>270</v>
      </c>
      <c r="EC214" s="44">
        <v>-927755.86</v>
      </c>
      <c r="EE214" s="44">
        <f>EC214+EE210</f>
        <v>-5843433.5</v>
      </c>
      <c r="EH214">
        <v>3367196.08</v>
      </c>
      <c r="EI214" s="44">
        <f>EE214+EH214</f>
        <v>-2476237.42</v>
      </c>
    </row>
    <row r="215" spans="1:139" ht="12.75">
      <c r="A215" t="s">
        <v>234</v>
      </c>
      <c r="EC215" s="44">
        <v>0</v>
      </c>
      <c r="EH215" s="39"/>
      <c r="EI215" s="252"/>
    </row>
    <row r="216" spans="1:133" ht="12.75">
      <c r="A216" s="183" t="s">
        <v>365</v>
      </c>
      <c r="EC216" s="185">
        <f>SUM(EC212:EC215)</f>
        <v>28147702.330000002</v>
      </c>
    </row>
    <row r="217" spans="1:138" ht="12.75">
      <c r="A217" s="39" t="s">
        <v>275</v>
      </c>
      <c r="EC217" s="44">
        <v>1754164.21</v>
      </c>
      <c r="EE217" s="1" t="s">
        <v>257</v>
      </c>
      <c r="EH217" s="39" t="s">
        <v>359</v>
      </c>
    </row>
    <row r="218" spans="1:139" ht="12.75">
      <c r="A218" s="39" t="s">
        <v>270</v>
      </c>
      <c r="EC218" s="44">
        <v>-1666802.3</v>
      </c>
      <c r="EE218" s="44">
        <f>EC218+EE214</f>
        <v>-7510235.8</v>
      </c>
      <c r="EH218">
        <v>3507085.01</v>
      </c>
      <c r="EI218" s="44">
        <f>EE218+EH218</f>
        <v>-4003150.79</v>
      </c>
    </row>
    <row r="219" spans="1:139" ht="12.75">
      <c r="A219" t="s">
        <v>234</v>
      </c>
      <c r="EC219" s="44">
        <v>0</v>
      </c>
      <c r="EH219" s="39"/>
      <c r="EI219" s="252"/>
    </row>
    <row r="220" spans="1:133" ht="12.75">
      <c r="A220" s="183" t="s">
        <v>366</v>
      </c>
      <c r="EC220" s="185">
        <f>SUM(EC216:EC219)</f>
        <v>28235064.240000002</v>
      </c>
    </row>
    <row r="221" spans="1:138" ht="12.75">
      <c r="A221" s="39" t="s">
        <v>275</v>
      </c>
      <c r="EC221" s="44">
        <v>1754164.21</v>
      </c>
      <c r="EE221" s="1" t="s">
        <v>257</v>
      </c>
      <c r="EH221" s="39" t="s">
        <v>359</v>
      </c>
    </row>
    <row r="222" spans="1:139" ht="12.75">
      <c r="A222" s="39" t="s">
        <v>270</v>
      </c>
      <c r="EC222" s="44">
        <v>-3138935.44</v>
      </c>
      <c r="EE222" s="44">
        <f>EC222+EE218</f>
        <v>-10649171.24</v>
      </c>
      <c r="EH222">
        <v>3507085.01</v>
      </c>
      <c r="EI222" s="44">
        <f>EE222+EH222</f>
        <v>-7142086.23</v>
      </c>
    </row>
    <row r="223" spans="1:139" ht="12.75">
      <c r="A223" t="s">
        <v>234</v>
      </c>
      <c r="EC223" s="44">
        <v>0</v>
      </c>
      <c r="EH223" s="39"/>
      <c r="EI223" s="252"/>
    </row>
    <row r="224" spans="1:133" ht="12.75">
      <c r="A224" s="183" t="s">
        <v>367</v>
      </c>
      <c r="EC224" s="185">
        <f>SUM(EC220:EC223)</f>
        <v>26850293.01</v>
      </c>
    </row>
    <row r="225" spans="1:138" ht="12.75">
      <c r="A225" s="39" t="s">
        <v>275</v>
      </c>
      <c r="EC225" s="44">
        <v>1754164.21</v>
      </c>
      <c r="EE225" s="1" t="s">
        <v>257</v>
      </c>
      <c r="EH225" s="39" t="s">
        <v>359</v>
      </c>
    </row>
    <row r="226" spans="1:139" ht="12.75">
      <c r="A226" s="39" t="s">
        <v>270</v>
      </c>
      <c r="EC226" s="44">
        <f>-2875349.2-1506971.4</f>
        <v>-4382320.6</v>
      </c>
      <c r="EE226" s="44">
        <f>EC226+EE222</f>
        <v>-15031491.84</v>
      </c>
      <c r="EH226">
        <v>5164097.87</v>
      </c>
      <c r="EI226" s="44">
        <f>EE226+EH226</f>
        <v>-9867393.969999999</v>
      </c>
    </row>
    <row r="227" spans="1:139" ht="12.75">
      <c r="A227" t="s">
        <v>234</v>
      </c>
      <c r="EC227" s="44">
        <v>0</v>
      </c>
      <c r="EH227" s="39"/>
      <c r="EI227" s="252"/>
    </row>
    <row r="228" spans="1:134" ht="12.75">
      <c r="A228" s="183" t="s">
        <v>373</v>
      </c>
      <c r="EC228" s="185">
        <f>SUM(EC224:EC227)+4006400</f>
        <v>28228536.620000005</v>
      </c>
      <c r="ED228" s="240" t="s">
        <v>326</v>
      </c>
    </row>
    <row r="229" spans="1:138" ht="12.75">
      <c r="A229" s="39" t="s">
        <v>275</v>
      </c>
      <c r="EC229" s="44">
        <v>799546.16</v>
      </c>
      <c r="EE229" s="1" t="s">
        <v>257</v>
      </c>
      <c r="EH229" s="39" t="s">
        <v>359</v>
      </c>
    </row>
    <row r="230" spans="1:139" ht="12.75">
      <c r="A230" s="39" t="s">
        <v>270</v>
      </c>
      <c r="EC230" s="44">
        <v>-983625.56</v>
      </c>
      <c r="EE230" s="44">
        <f>EC230</f>
        <v>-983625.56</v>
      </c>
      <c r="EH230">
        <v>0</v>
      </c>
      <c r="EI230" s="44">
        <f>EE230+EH230</f>
        <v>-983625.56</v>
      </c>
    </row>
    <row r="231" spans="1:139" ht="12.75">
      <c r="A231" t="s">
        <v>234</v>
      </c>
      <c r="EC231" s="44">
        <v>0</v>
      </c>
      <c r="EH231" s="39"/>
      <c r="EI231" s="252"/>
    </row>
    <row r="232" spans="1:133" ht="12.75">
      <c r="A232" s="183" t="s">
        <v>374</v>
      </c>
      <c r="EC232" s="185">
        <f>SUM(EC228:EC231)</f>
        <v>28044457.220000006</v>
      </c>
    </row>
    <row r="233" spans="1:138" ht="12.75">
      <c r="A233" s="39" t="s">
        <v>275</v>
      </c>
      <c r="EC233" s="44">
        <v>799546.16</v>
      </c>
      <c r="EE233" s="1" t="s">
        <v>257</v>
      </c>
      <c r="EH233" s="39" t="s">
        <v>359</v>
      </c>
    </row>
    <row r="234" spans="1:139" ht="12.75">
      <c r="A234" s="39" t="s">
        <v>270</v>
      </c>
      <c r="EC234" s="44">
        <v>-4444794.2</v>
      </c>
      <c r="EE234" s="44">
        <f>EE230+EC234</f>
        <v>-5428419.76</v>
      </c>
      <c r="EH234">
        <v>0</v>
      </c>
      <c r="EI234" s="44">
        <f>EE234+EH234</f>
        <v>-5428419.76</v>
      </c>
    </row>
    <row r="235" spans="1:139" ht="12.75">
      <c r="A235" t="s">
        <v>234</v>
      </c>
      <c r="EC235" s="44">
        <v>0</v>
      </c>
      <c r="EH235" s="39"/>
      <c r="EI235" s="252"/>
    </row>
    <row r="236" spans="1:133" ht="12.75">
      <c r="A236" s="183" t="s">
        <v>381</v>
      </c>
      <c r="EC236" s="185">
        <f>SUM(EC232:EC235)</f>
        <v>24399209.180000007</v>
      </c>
    </row>
    <row r="237" spans="1:138" ht="12.75">
      <c r="A237" s="39" t="s">
        <v>275</v>
      </c>
      <c r="EC237" s="44">
        <v>799546.16</v>
      </c>
      <c r="EE237" s="1" t="s">
        <v>257</v>
      </c>
      <c r="EH237" s="39" t="s">
        <v>359</v>
      </c>
    </row>
    <row r="238" spans="1:139" ht="12.75">
      <c r="A238" s="39" t="s">
        <v>270</v>
      </c>
      <c r="EC238" s="44">
        <v>-1632777.94</v>
      </c>
      <c r="EE238" s="44">
        <f>EE234+EC238</f>
        <v>-7061197.699999999</v>
      </c>
      <c r="EH238">
        <v>0</v>
      </c>
      <c r="EI238" s="44">
        <f>EE238+EH238</f>
        <v>-7061197.699999999</v>
      </c>
    </row>
    <row r="239" spans="1:139" ht="12.75">
      <c r="A239" t="s">
        <v>234</v>
      </c>
      <c r="EC239" s="44">
        <v>0</v>
      </c>
      <c r="EH239" s="39"/>
      <c r="EI239" s="252"/>
    </row>
    <row r="240" spans="1:133" ht="12.75">
      <c r="A240" s="183" t="s">
        <v>387</v>
      </c>
      <c r="EC240" s="185">
        <f>SUM(EC236:EC239)</f>
        <v>23565977.400000006</v>
      </c>
    </row>
    <row r="241" spans="1:138" ht="12.75">
      <c r="A241" s="39" t="s">
        <v>275</v>
      </c>
      <c r="EC241" s="44">
        <v>799546.16</v>
      </c>
      <c r="EE241" s="1" t="s">
        <v>257</v>
      </c>
      <c r="EH241" s="39" t="s">
        <v>359</v>
      </c>
    </row>
    <row r="242" spans="1:139" ht="12.75">
      <c r="A242" s="39" t="s">
        <v>270</v>
      </c>
      <c r="EC242" s="44">
        <v>-3275378.75</v>
      </c>
      <c r="EE242" s="44">
        <f>EE238+EC242</f>
        <v>-10336576.45</v>
      </c>
      <c r="EH242">
        <v>0</v>
      </c>
      <c r="EI242" s="44">
        <f>EE242+EH242</f>
        <v>-10336576.45</v>
      </c>
    </row>
    <row r="243" spans="1:139" ht="12.75">
      <c r="A243" t="s">
        <v>234</v>
      </c>
      <c r="EC243" s="44">
        <v>0</v>
      </c>
      <c r="EH243" s="39"/>
      <c r="EI243" s="252"/>
    </row>
    <row r="244" spans="1:133" ht="12.75">
      <c r="A244" s="183" t="s">
        <v>391</v>
      </c>
      <c r="EC244" s="185">
        <f>SUM(EC240:EC243)</f>
        <v>21090144.810000006</v>
      </c>
    </row>
    <row r="245" spans="1:138" ht="12.75">
      <c r="A245" s="39" t="s">
        <v>275</v>
      </c>
      <c r="EC245" s="44">
        <v>799546.16</v>
      </c>
      <c r="EE245" s="1" t="s">
        <v>257</v>
      </c>
      <c r="EH245" s="39" t="s">
        <v>359</v>
      </c>
    </row>
    <row r="246" spans="1:139" ht="12.75">
      <c r="A246" s="39" t="s">
        <v>270</v>
      </c>
      <c r="EC246" s="44">
        <v>-3354346.1</v>
      </c>
      <c r="EE246" s="44">
        <f>EE242+EC246</f>
        <v>-13690922.549999999</v>
      </c>
      <c r="EH246">
        <v>0</v>
      </c>
      <c r="EI246" s="44">
        <f>EE246+EH246</f>
        <v>-13690922.549999999</v>
      </c>
    </row>
    <row r="247" spans="1:139" ht="12.75">
      <c r="A247" t="s">
        <v>234</v>
      </c>
      <c r="EC247" s="44">
        <v>0</v>
      </c>
      <c r="EH247" s="39"/>
      <c r="EI247" s="252"/>
    </row>
    <row r="248" spans="1:133" ht="12.75">
      <c r="A248" s="183" t="s">
        <v>393</v>
      </c>
      <c r="EC248" s="185">
        <f>SUM(EC244:EC247)</f>
        <v>18535344.870000005</v>
      </c>
    </row>
    <row r="249" spans="1:138" ht="12.75">
      <c r="A249" s="39" t="s">
        <v>275</v>
      </c>
      <c r="EC249" s="44">
        <v>799546.16</v>
      </c>
      <c r="EE249" s="1" t="s">
        <v>257</v>
      </c>
      <c r="EH249" s="39" t="s">
        <v>359</v>
      </c>
    </row>
    <row r="250" spans="1:139" ht="12.75">
      <c r="A250" s="39" t="s">
        <v>270</v>
      </c>
      <c r="EC250" s="44">
        <v>-737308.68</v>
      </c>
      <c r="EE250" s="44">
        <f>EE246+EC250</f>
        <v>-14428231.229999999</v>
      </c>
      <c r="EH250">
        <v>0</v>
      </c>
      <c r="EI250" s="44">
        <f>EE250+EH250</f>
        <v>-14428231.229999999</v>
      </c>
    </row>
    <row r="251" spans="1:139" ht="12.75">
      <c r="A251" t="s">
        <v>234</v>
      </c>
      <c r="EC251" s="44">
        <v>0</v>
      </c>
      <c r="EH251" s="39"/>
      <c r="EI251" s="252"/>
    </row>
    <row r="252" spans="1:133" ht="12.75">
      <c r="A252" s="183" t="s">
        <v>399</v>
      </c>
      <c r="EC252" s="185">
        <f>SUM(EC248:EC251)</f>
        <v>18597582.350000005</v>
      </c>
    </row>
    <row r="253" spans="1:138" ht="12.75">
      <c r="A253" s="39" t="s">
        <v>275</v>
      </c>
      <c r="EC253" s="44">
        <v>834546.16</v>
      </c>
      <c r="EE253" s="1" t="s">
        <v>257</v>
      </c>
      <c r="EH253" s="39" t="s">
        <v>359</v>
      </c>
    </row>
    <row r="254" spans="1:139" ht="12.75">
      <c r="A254" s="39" t="s">
        <v>270</v>
      </c>
      <c r="EC254" s="44">
        <v>-2940608.88</v>
      </c>
      <c r="EE254" s="44">
        <f>EE250+EC254</f>
        <v>-17368840.11</v>
      </c>
      <c r="EH254">
        <v>719.3</v>
      </c>
      <c r="EI254" s="44">
        <f>EE254+EH254</f>
        <v>-17368120.81</v>
      </c>
    </row>
    <row r="255" spans="1:139" ht="12.75">
      <c r="A255" t="s">
        <v>234</v>
      </c>
      <c r="EC255" s="44">
        <v>0</v>
      </c>
      <c r="EH255" s="39"/>
      <c r="EI255" s="252"/>
    </row>
    <row r="256" spans="1:133" ht="12.75">
      <c r="A256" s="183" t="s">
        <v>403</v>
      </c>
      <c r="EC256" s="185">
        <f>SUM(EC252:EC255)</f>
        <v>16491519.630000006</v>
      </c>
    </row>
    <row r="257" spans="1:138" ht="12.75">
      <c r="A257" s="39" t="s">
        <v>275</v>
      </c>
      <c r="EC257" s="44">
        <v>804546.16</v>
      </c>
      <c r="EE257" s="1" t="s">
        <v>257</v>
      </c>
      <c r="EH257" s="39" t="s">
        <v>359</v>
      </c>
    </row>
    <row r="258" spans="1:139" ht="12.75">
      <c r="A258" s="39" t="s">
        <v>270</v>
      </c>
      <c r="EC258" s="44">
        <f>4325386.64+3306466.96</f>
        <v>7631853.6</v>
      </c>
      <c r="EE258" s="44">
        <f>EE254+EC258</f>
        <v>-9736986.51</v>
      </c>
      <c r="EH258">
        <v>719.3</v>
      </c>
      <c r="EI258" s="44">
        <f>EE258+EH258</f>
        <v>-9736267.209999999</v>
      </c>
    </row>
    <row r="259" spans="1:139" ht="12.75">
      <c r="A259" t="s">
        <v>234</v>
      </c>
      <c r="EC259" s="44">
        <v>0</v>
      </c>
      <c r="EH259" s="39"/>
      <c r="EI259" s="252"/>
    </row>
    <row r="260" spans="1:133" ht="12.75">
      <c r="A260" s="183" t="s">
        <v>407</v>
      </c>
      <c r="EC260" s="185">
        <f>SUM(EC256:EC259)</f>
        <v>24927919.390000008</v>
      </c>
    </row>
    <row r="261" spans="1:138" ht="12.75">
      <c r="A261" s="39" t="s">
        <v>275</v>
      </c>
      <c r="EC261" s="44">
        <v>809046.16</v>
      </c>
      <c r="EE261" s="1" t="s">
        <v>257</v>
      </c>
      <c r="EH261" s="39" t="s">
        <v>359</v>
      </c>
    </row>
    <row r="262" spans="1:139" ht="12.75">
      <c r="A262" s="39" t="s">
        <v>270</v>
      </c>
      <c r="EC262" s="44">
        <v>-3377462.08</v>
      </c>
      <c r="EE262" s="44">
        <f>EE258+EC262</f>
        <v>-13114448.59</v>
      </c>
      <c r="EH262">
        <v>5912661.24</v>
      </c>
      <c r="EI262" s="44">
        <f>EE262+EH262</f>
        <v>-7201787.35</v>
      </c>
    </row>
    <row r="263" spans="1:139" ht="12.75">
      <c r="A263" t="s">
        <v>234</v>
      </c>
      <c r="EC263" s="44">
        <v>0</v>
      </c>
      <c r="EH263" s="39"/>
      <c r="EI263" s="252"/>
    </row>
    <row r="264" spans="1:133" ht="12.75">
      <c r="A264" s="183" t="s">
        <v>416</v>
      </c>
      <c r="EC264" s="185">
        <f>SUM(EC260:EC263)</f>
        <v>22359503.470000006</v>
      </c>
    </row>
    <row r="265" spans="1:138" ht="12.75">
      <c r="A265" s="39" t="s">
        <v>275</v>
      </c>
      <c r="EC265" s="44">
        <v>805046.16</v>
      </c>
      <c r="EE265" s="1" t="s">
        <v>257</v>
      </c>
      <c r="EH265" s="39" t="s">
        <v>359</v>
      </c>
    </row>
    <row r="266" spans="1:139" ht="12.75">
      <c r="A266" s="39" t="s">
        <v>270</v>
      </c>
      <c r="EC266" s="44">
        <v>-2353012.31</v>
      </c>
      <c r="EE266" s="44">
        <f>EE262+EC266</f>
        <v>-15467460.9</v>
      </c>
      <c r="EH266">
        <v>6059763.58</v>
      </c>
      <c r="EI266" s="44">
        <f>EE266+EH266</f>
        <v>-9407697.32</v>
      </c>
    </row>
    <row r="267" spans="1:139" ht="12.75">
      <c r="A267" t="s">
        <v>234</v>
      </c>
      <c r="EC267" s="44">
        <v>0</v>
      </c>
      <c r="EH267" s="39"/>
      <c r="EI267" s="252"/>
    </row>
    <row r="268" spans="1:133" ht="12.75">
      <c r="A268" s="183" t="s">
        <v>415</v>
      </c>
      <c r="EC268" s="185">
        <f>SUM(EC264:EC267)</f>
        <v>20811537.320000008</v>
      </c>
    </row>
    <row r="269" spans="1:138" ht="12.75">
      <c r="A269" s="39" t="s">
        <v>275</v>
      </c>
      <c r="EC269" s="44">
        <v>805046.16</v>
      </c>
      <c r="EE269" s="1" t="s">
        <v>257</v>
      </c>
      <c r="EH269" s="39" t="s">
        <v>359</v>
      </c>
    </row>
    <row r="270" spans="1:139" ht="12.75">
      <c r="A270" s="39" t="s">
        <v>270</v>
      </c>
      <c r="EC270" s="44">
        <v>-3285529.44</v>
      </c>
      <c r="EE270" s="44">
        <f>EE266+EC270</f>
        <v>-18752990.34</v>
      </c>
      <c r="EH270">
        <v>6059763.58</v>
      </c>
      <c r="EI270" s="44">
        <f>EE270+EH270</f>
        <v>-12693226.76</v>
      </c>
    </row>
    <row r="271" spans="1:139" ht="12.75">
      <c r="A271" t="s">
        <v>234</v>
      </c>
      <c r="EC271" s="44">
        <v>0</v>
      </c>
      <c r="EH271" s="39"/>
      <c r="EI271" s="252"/>
    </row>
    <row r="272" spans="1:133" ht="12.75">
      <c r="A272" s="183" t="s">
        <v>420</v>
      </c>
      <c r="EC272" s="185">
        <f>SUM(EC268:EC271)</f>
        <v>18331054.040000007</v>
      </c>
    </row>
    <row r="273" spans="1:138" ht="12.75">
      <c r="A273" s="39" t="s">
        <v>275</v>
      </c>
      <c r="EC273" s="44">
        <f>805046.16+0.08+7674113.15</f>
        <v>8479159.39</v>
      </c>
      <c r="EE273" s="1" t="s">
        <v>257</v>
      </c>
      <c r="EH273" s="39" t="s">
        <v>359</v>
      </c>
    </row>
    <row r="274" spans="1:139" ht="12.75">
      <c r="A274" s="39" t="s">
        <v>270</v>
      </c>
      <c r="EC274" s="44">
        <v>-2700248.63</v>
      </c>
      <c r="EE274" s="44">
        <f>EE270+EC274</f>
        <v>-21453238.97</v>
      </c>
      <c r="EH274">
        <v>12217022.3</v>
      </c>
      <c r="EI274" s="44">
        <f>EE274+EH274</f>
        <v>-9236216.669999998</v>
      </c>
    </row>
    <row r="275" spans="1:139" ht="12.75">
      <c r="A275" t="s">
        <v>234</v>
      </c>
      <c r="EC275" s="44">
        <v>0</v>
      </c>
      <c r="EH275" s="39"/>
      <c r="EI275" s="252"/>
    </row>
    <row r="276" spans="1:141" ht="12.75">
      <c r="A276" s="184" t="s">
        <v>425</v>
      </c>
      <c r="B276" s="254"/>
      <c r="C276" s="254"/>
      <c r="D276" s="254"/>
      <c r="E276" s="254"/>
      <c r="F276" s="254"/>
      <c r="G276" s="254"/>
      <c r="H276" s="254"/>
      <c r="I276" s="254"/>
      <c r="J276" s="254"/>
      <c r="K276" s="254"/>
      <c r="L276" s="254"/>
      <c r="M276" s="254"/>
      <c r="N276" s="254"/>
      <c r="O276" s="254"/>
      <c r="P276" s="254"/>
      <c r="Q276" s="254"/>
      <c r="R276" s="254"/>
      <c r="S276" s="254"/>
      <c r="T276" s="254"/>
      <c r="U276" s="254"/>
      <c r="V276" s="254"/>
      <c r="W276" s="254"/>
      <c r="X276" s="254"/>
      <c r="Y276" s="254"/>
      <c r="Z276" s="254"/>
      <c r="AA276" s="254"/>
      <c r="AB276" s="254"/>
      <c r="AC276" s="254"/>
      <c r="AD276" s="254"/>
      <c r="AE276" s="254"/>
      <c r="AF276" s="254"/>
      <c r="AG276" s="254"/>
      <c r="AH276" s="254"/>
      <c r="AI276" s="254"/>
      <c r="AJ276" s="254"/>
      <c r="AK276" s="254"/>
      <c r="AL276" s="254"/>
      <c r="AM276" s="254"/>
      <c r="AN276" s="254"/>
      <c r="AO276" s="254"/>
      <c r="AP276" s="254"/>
      <c r="AQ276" s="254"/>
      <c r="AR276" s="254"/>
      <c r="AS276" s="254"/>
      <c r="AT276" s="254"/>
      <c r="AU276" s="254"/>
      <c r="AV276" s="254"/>
      <c r="AW276" s="254"/>
      <c r="AX276" s="254"/>
      <c r="AY276" s="254"/>
      <c r="AZ276" s="254"/>
      <c r="BA276" s="254"/>
      <c r="BB276" s="254"/>
      <c r="BC276" s="254"/>
      <c r="BD276" s="254"/>
      <c r="BE276" s="254"/>
      <c r="BF276" s="254"/>
      <c r="BG276" s="254"/>
      <c r="BH276" s="254"/>
      <c r="BI276" s="254"/>
      <c r="BJ276" s="254"/>
      <c r="BK276" s="254"/>
      <c r="BL276" s="254"/>
      <c r="BM276" s="254"/>
      <c r="BN276" s="254"/>
      <c r="BO276" s="254"/>
      <c r="BP276" s="254"/>
      <c r="BQ276" s="254"/>
      <c r="BR276" s="254"/>
      <c r="BS276" s="254"/>
      <c r="BT276" s="254"/>
      <c r="BU276" s="254"/>
      <c r="BV276" s="254"/>
      <c r="BW276" s="254"/>
      <c r="BX276" s="254"/>
      <c r="BY276" s="254"/>
      <c r="BZ276" s="254"/>
      <c r="CA276" s="254"/>
      <c r="CB276" s="254"/>
      <c r="CC276" s="254"/>
      <c r="CD276" s="254"/>
      <c r="CE276" s="254"/>
      <c r="CF276" s="254"/>
      <c r="CG276" s="254"/>
      <c r="CH276" s="254"/>
      <c r="CI276" s="254"/>
      <c r="CJ276" s="254"/>
      <c r="CK276" s="254"/>
      <c r="CL276" s="254"/>
      <c r="CM276" s="254"/>
      <c r="CN276" s="254"/>
      <c r="CO276" s="254"/>
      <c r="CP276" s="254"/>
      <c r="CQ276" s="254"/>
      <c r="CR276" s="254"/>
      <c r="CS276" s="254"/>
      <c r="CT276" s="254"/>
      <c r="CU276" s="254"/>
      <c r="CV276" s="254"/>
      <c r="CW276" s="254"/>
      <c r="CX276" s="254"/>
      <c r="CY276" s="254"/>
      <c r="CZ276" s="254"/>
      <c r="DA276" s="254"/>
      <c r="DB276" s="254"/>
      <c r="DC276" s="254"/>
      <c r="DD276" s="254"/>
      <c r="DE276" s="254"/>
      <c r="DF276" s="254"/>
      <c r="DG276" s="254"/>
      <c r="DH276" s="254"/>
      <c r="DI276" s="254"/>
      <c r="DJ276" s="254"/>
      <c r="DK276" s="254"/>
      <c r="DL276" s="254"/>
      <c r="DM276" s="254"/>
      <c r="DN276" s="254"/>
      <c r="DO276" s="254"/>
      <c r="DP276" s="254"/>
      <c r="DQ276" s="254"/>
      <c r="DR276" s="254"/>
      <c r="DS276" s="254"/>
      <c r="DT276" s="254"/>
      <c r="DU276" s="254"/>
      <c r="DV276" s="254"/>
      <c r="DW276" s="254"/>
      <c r="DX276" s="254"/>
      <c r="DY276" s="254"/>
      <c r="DZ276" s="254"/>
      <c r="EA276" s="254"/>
      <c r="EB276" s="254"/>
      <c r="EC276" s="255">
        <f>SUM(EC272:EC275)</f>
        <v>24109964.80000001</v>
      </c>
      <c r="ED276" s="254"/>
      <c r="EE276" s="254"/>
      <c r="EF276" s="254"/>
      <c r="EG276" s="254"/>
      <c r="EH276" s="254"/>
      <c r="EI276" s="256"/>
      <c r="EK276" s="257" t="s">
        <v>431</v>
      </c>
    </row>
    <row r="277" spans="1:138" ht="12.75">
      <c r="A277" s="39" t="s">
        <v>275</v>
      </c>
      <c r="EC277" s="44">
        <v>853350.84</v>
      </c>
      <c r="EE277" s="1" t="s">
        <v>257</v>
      </c>
      <c r="EH277" s="39" t="s">
        <v>359</v>
      </c>
    </row>
    <row r="278" spans="1:139" ht="12.75">
      <c r="A278" s="39" t="s">
        <v>270</v>
      </c>
      <c r="EC278" s="44">
        <v>-1687180.45</v>
      </c>
      <c r="EE278" s="44">
        <f>EC278</f>
        <v>-1687180.45</v>
      </c>
      <c r="EI278" s="44">
        <f>EE278+EH278</f>
        <v>-1687180.45</v>
      </c>
    </row>
    <row r="279" spans="1:139" ht="12.75">
      <c r="A279" t="s">
        <v>234</v>
      </c>
      <c r="EC279" s="44">
        <v>0</v>
      </c>
      <c r="EH279" s="39"/>
      <c r="EI279" s="252"/>
    </row>
    <row r="280" spans="1:133" ht="12.75">
      <c r="A280" s="183" t="s">
        <v>443</v>
      </c>
      <c r="EC280" s="185">
        <f>SUM(EC276:EC279)</f>
        <v>23276135.19000001</v>
      </c>
    </row>
    <row r="281" spans="1:138" ht="12.75">
      <c r="A281" s="39" t="s">
        <v>275</v>
      </c>
      <c r="EC281" s="44">
        <v>853350.84</v>
      </c>
      <c r="EE281" s="1" t="s">
        <v>257</v>
      </c>
      <c r="EH281" s="39" t="s">
        <v>359</v>
      </c>
    </row>
    <row r="282" spans="1:139" ht="12.75">
      <c r="A282" s="39" t="s">
        <v>270</v>
      </c>
      <c r="EC282" s="44">
        <v>-241380.01</v>
      </c>
      <c r="EE282" s="44">
        <f>EC282+EE278</f>
        <v>-1928560.46</v>
      </c>
      <c r="EI282" s="44">
        <f>EE282+EH282</f>
        <v>-1928560.46</v>
      </c>
    </row>
    <row r="283" spans="1:139" ht="12.75">
      <c r="A283" t="s">
        <v>234</v>
      </c>
      <c r="EC283" s="44">
        <v>0</v>
      </c>
      <c r="EH283" s="39"/>
      <c r="EI283" s="252"/>
    </row>
    <row r="284" spans="1:133" ht="12.75">
      <c r="A284" s="183" t="s">
        <v>444</v>
      </c>
      <c r="EC284" s="185">
        <f>SUM(EC280:EC283)</f>
        <v>23888106.020000007</v>
      </c>
    </row>
    <row r="285" spans="1:138" ht="12.75">
      <c r="A285" s="39" t="s">
        <v>275</v>
      </c>
      <c r="EC285" s="44">
        <v>853350.84</v>
      </c>
      <c r="EE285" s="1" t="s">
        <v>257</v>
      </c>
      <c r="EH285" s="39" t="s">
        <v>359</v>
      </c>
    </row>
    <row r="286" spans="1:139" ht="12.75">
      <c r="A286" s="39" t="s">
        <v>270</v>
      </c>
      <c r="EC286" s="44">
        <v>-103616.51</v>
      </c>
      <c r="EE286" s="44">
        <f>EC286+EE282</f>
        <v>-2032176.97</v>
      </c>
      <c r="EI286" s="44">
        <f>EE286+EH286</f>
        <v>-2032176.97</v>
      </c>
    </row>
    <row r="287" spans="1:139" ht="12.75">
      <c r="A287" t="s">
        <v>234</v>
      </c>
      <c r="EC287" s="44">
        <v>0</v>
      </c>
      <c r="EH287" s="39"/>
      <c r="EI287" s="252"/>
    </row>
    <row r="288" spans="1:133" ht="12.75">
      <c r="A288" s="183" t="s">
        <v>445</v>
      </c>
      <c r="EC288" s="185">
        <f>SUM(EC284:EC287)</f>
        <v>24637840.350000005</v>
      </c>
    </row>
    <row r="289" spans="1:138" ht="12.75">
      <c r="A289" s="39" t="s">
        <v>275</v>
      </c>
      <c r="EC289" s="44">
        <v>853350.84</v>
      </c>
      <c r="EE289" s="1" t="s">
        <v>257</v>
      </c>
      <c r="EH289" s="39" t="s">
        <v>359</v>
      </c>
    </row>
    <row r="290" spans="1:139" ht="12.75">
      <c r="A290" s="39" t="s">
        <v>270</v>
      </c>
      <c r="EC290" s="44">
        <v>-239583.79</v>
      </c>
      <c r="EE290" s="44">
        <f>EC290+EE286</f>
        <v>-2271760.76</v>
      </c>
      <c r="EI290" s="44">
        <f>EE290+EH290</f>
        <v>-2271760.76</v>
      </c>
    </row>
    <row r="291" spans="1:139" ht="12.75">
      <c r="A291" t="s">
        <v>234</v>
      </c>
      <c r="EC291" s="44">
        <v>0</v>
      </c>
      <c r="EH291" s="39"/>
      <c r="EI291" s="252"/>
    </row>
    <row r="292" spans="1:133" ht="12.75">
      <c r="A292" s="183" t="s">
        <v>446</v>
      </c>
      <c r="EC292" s="185">
        <f>SUM(EC288:EC291)</f>
        <v>25251607.400000006</v>
      </c>
    </row>
    <row r="293" spans="1:138" ht="12.75">
      <c r="A293" s="39" t="s">
        <v>275</v>
      </c>
      <c r="EC293" s="44">
        <v>853350.84</v>
      </c>
      <c r="EE293" s="1" t="s">
        <v>257</v>
      </c>
      <c r="EH293" s="39" t="s">
        <v>359</v>
      </c>
    </row>
    <row r="294" spans="1:139" ht="12.75">
      <c r="A294" s="39" t="s">
        <v>270</v>
      </c>
      <c r="EC294" s="44">
        <v>-1230057.9</v>
      </c>
      <c r="EE294" s="44">
        <f>EC294+EE290</f>
        <v>-3501818.6599999997</v>
      </c>
      <c r="EI294" s="44">
        <f>EE294+EH294</f>
        <v>-3501818.6599999997</v>
      </c>
    </row>
    <row r="295" spans="1:139" ht="12.75">
      <c r="A295" t="s">
        <v>234</v>
      </c>
      <c r="EC295" s="44">
        <v>0</v>
      </c>
      <c r="EH295" s="39"/>
      <c r="EI295" s="252"/>
    </row>
    <row r="296" spans="1:133" ht="12.75">
      <c r="A296" s="183" t="s">
        <v>447</v>
      </c>
      <c r="EC296" s="185">
        <f>SUM(EC292:EC295)</f>
        <v>24874900.340000007</v>
      </c>
    </row>
    <row r="297" spans="1:138" ht="12.75">
      <c r="A297" s="39" t="s">
        <v>275</v>
      </c>
      <c r="EC297" s="44">
        <v>853350.84</v>
      </c>
      <c r="EE297" s="1" t="s">
        <v>257</v>
      </c>
      <c r="EH297" s="39" t="s">
        <v>359</v>
      </c>
    </row>
    <row r="298" spans="1:139" ht="12.75">
      <c r="A298" s="39" t="s">
        <v>270</v>
      </c>
      <c r="EC298" s="44">
        <v>-1336526.97</v>
      </c>
      <c r="EE298" s="44">
        <f>EC298+EE294</f>
        <v>-4838345.63</v>
      </c>
      <c r="EI298" s="44">
        <f>EE298+EH298</f>
        <v>-4838345.63</v>
      </c>
    </row>
    <row r="299" spans="1:139" ht="12.75">
      <c r="A299" t="s">
        <v>234</v>
      </c>
      <c r="EC299" s="44">
        <v>0</v>
      </c>
      <c r="EH299" s="39"/>
      <c r="EI299" s="252"/>
    </row>
    <row r="300" spans="1:133" ht="12.75">
      <c r="A300" s="183" t="s">
        <v>450</v>
      </c>
      <c r="EC300" s="185">
        <f>SUM(EC296:EC299)</f>
        <v>24391724.21000001</v>
      </c>
    </row>
    <row r="301" spans="1:138" ht="12.75">
      <c r="A301" s="39" t="s">
        <v>275</v>
      </c>
      <c r="EC301" s="44">
        <v>853350.84</v>
      </c>
      <c r="EE301" s="1" t="s">
        <v>257</v>
      </c>
      <c r="EH301" s="39" t="s">
        <v>359</v>
      </c>
    </row>
    <row r="302" spans="1:139" ht="12.75">
      <c r="A302" s="39" t="s">
        <v>270</v>
      </c>
      <c r="EC302" s="44">
        <v>-52914.88</v>
      </c>
      <c r="EE302" s="44">
        <f>EC302+EE298</f>
        <v>-4891260.51</v>
      </c>
      <c r="EI302" s="44">
        <f>EE302+EH302</f>
        <v>-4891260.51</v>
      </c>
    </row>
    <row r="303" spans="1:139" ht="12.75">
      <c r="A303" t="s">
        <v>234</v>
      </c>
      <c r="EC303" s="44">
        <v>0</v>
      </c>
      <c r="EH303" s="39"/>
      <c r="EI303" s="252"/>
    </row>
    <row r="304" spans="1:133" ht="12.75">
      <c r="A304" s="183" t="s">
        <v>456</v>
      </c>
      <c r="EC304" s="185">
        <f>SUM(EC300:EC303)</f>
        <v>25192160.17000001</v>
      </c>
    </row>
    <row r="305" spans="1:138" ht="12.75">
      <c r="A305" s="39" t="s">
        <v>275</v>
      </c>
      <c r="EC305" s="44">
        <v>4937912.12</v>
      </c>
      <c r="EE305" s="1" t="s">
        <v>257</v>
      </c>
      <c r="EH305" s="39" t="s">
        <v>359</v>
      </c>
    </row>
    <row r="306" spans="1:139" ht="12.75">
      <c r="A306" s="39" t="s">
        <v>270</v>
      </c>
      <c r="EC306" s="44">
        <v>-1332079.71</v>
      </c>
      <c r="EE306" s="44">
        <f>EC306+EE302</f>
        <v>-6223340.22</v>
      </c>
      <c r="EI306" s="44">
        <f>EE306+EH306</f>
        <v>-6223340.22</v>
      </c>
    </row>
    <row r="307" spans="1:139" ht="12.75">
      <c r="A307" t="s">
        <v>234</v>
      </c>
      <c r="EC307" s="44">
        <v>0</v>
      </c>
      <c r="EH307" s="39"/>
      <c r="EI307" s="252"/>
    </row>
    <row r="308" spans="1:133" ht="12.75">
      <c r="A308" s="183" t="s">
        <v>460</v>
      </c>
      <c r="EC308" s="185">
        <f>SUM(EC304:EC307)</f>
        <v>28797992.58000001</v>
      </c>
    </row>
    <row r="309" spans="1:138" ht="12.75">
      <c r="A309" s="39" t="s">
        <v>275</v>
      </c>
      <c r="EC309" s="44">
        <v>1363921</v>
      </c>
      <c r="EE309" s="1" t="s">
        <v>257</v>
      </c>
      <c r="EH309" s="39" t="s">
        <v>359</v>
      </c>
    </row>
    <row r="310" spans="1:139" ht="12.75">
      <c r="A310" s="39" t="s">
        <v>270</v>
      </c>
      <c r="EC310" s="44">
        <v>-2268953.31</v>
      </c>
      <c r="EE310" s="44">
        <f>EC310+EE306</f>
        <v>-8492293.53</v>
      </c>
      <c r="EI310" s="44">
        <f>EE310+EH310</f>
        <v>-8492293.53</v>
      </c>
    </row>
    <row r="311" spans="1:139" ht="12.75">
      <c r="A311" t="s">
        <v>234</v>
      </c>
      <c r="EC311" s="44">
        <v>0</v>
      </c>
      <c r="EH311" s="39"/>
      <c r="EI311" s="252"/>
    </row>
    <row r="312" spans="1:133" ht="12.75">
      <c r="A312" s="183" t="s">
        <v>464</v>
      </c>
      <c r="EC312" s="185">
        <f>SUM(EC308:EC311)</f>
        <v>27892960.27000001</v>
      </c>
    </row>
    <row r="313" spans="1:138" ht="12.75">
      <c r="A313" s="39" t="s">
        <v>275</v>
      </c>
      <c r="EC313" s="44">
        <v>1363921</v>
      </c>
      <c r="EE313" s="1" t="s">
        <v>257</v>
      </c>
      <c r="EH313" s="39" t="s">
        <v>359</v>
      </c>
    </row>
    <row r="314" spans="1:139" ht="12.75">
      <c r="A314" s="39" t="s">
        <v>270</v>
      </c>
      <c r="EC314" s="44">
        <v>-413695.28</v>
      </c>
      <c r="EE314" s="44">
        <f>EC314+EE310</f>
        <v>-8905988.809999999</v>
      </c>
      <c r="EI314" s="44">
        <f>EE314+EH314</f>
        <v>-8905988.809999999</v>
      </c>
    </row>
    <row r="315" spans="1:139" ht="12.75">
      <c r="A315" t="s">
        <v>234</v>
      </c>
      <c r="EC315" s="44">
        <v>0</v>
      </c>
      <c r="EH315" s="39"/>
      <c r="EI315" s="252"/>
    </row>
    <row r="316" spans="1:133" ht="12.75">
      <c r="A316" s="183" t="s">
        <v>469</v>
      </c>
      <c r="EC316" s="185">
        <f>SUM(EC312:EC315)</f>
        <v>28843185.99000001</v>
      </c>
    </row>
    <row r="317" spans="1:138" ht="12.75">
      <c r="A317" s="39" t="s">
        <v>275</v>
      </c>
      <c r="EC317" s="44">
        <v>1363921</v>
      </c>
      <c r="EE317" s="1" t="s">
        <v>257</v>
      </c>
      <c r="EH317" s="39" t="s">
        <v>359</v>
      </c>
    </row>
    <row r="318" spans="1:139" ht="12.75">
      <c r="A318" s="39" t="s">
        <v>270</v>
      </c>
      <c r="EC318" s="44">
        <v>-1015492.04</v>
      </c>
      <c r="EE318" s="44">
        <f>EC318+EE314</f>
        <v>-9921480.849999998</v>
      </c>
      <c r="EH318">
        <v>833622.13</v>
      </c>
      <c r="EI318" s="44">
        <f>EE318+EH318</f>
        <v>-9087858.719999997</v>
      </c>
    </row>
    <row r="319" spans="1:139" ht="12.75">
      <c r="A319" t="s">
        <v>234</v>
      </c>
      <c r="EC319" s="44">
        <v>0</v>
      </c>
      <c r="EH319" s="39"/>
      <c r="EI319" s="252"/>
    </row>
    <row r="320" spans="1:133" ht="12.75">
      <c r="A320" s="183" t="s">
        <v>473</v>
      </c>
      <c r="EC320" s="185">
        <f>SUM(EC316:EC319)</f>
        <v>29191614.95000001</v>
      </c>
    </row>
    <row r="321" spans="1:138" ht="12.75">
      <c r="A321" s="39" t="s">
        <v>275</v>
      </c>
      <c r="EC321" s="44">
        <v>1363921</v>
      </c>
      <c r="EE321" s="1" t="s">
        <v>257</v>
      </c>
      <c r="EH321" s="39" t="s">
        <v>359</v>
      </c>
    </row>
    <row r="322" spans="1:139" ht="12.75">
      <c r="A322" s="39" t="s">
        <v>270</v>
      </c>
      <c r="EC322" s="44">
        <f>-7180376.42-782039.88</f>
        <v>-7962416.3</v>
      </c>
      <c r="EE322" s="44">
        <f>EC322+EE318</f>
        <v>-17883897.15</v>
      </c>
      <c r="EH322">
        <v>833622.13</v>
      </c>
      <c r="EI322" s="44">
        <f>EE322+EH322</f>
        <v>-17050275.02</v>
      </c>
    </row>
    <row r="323" spans="1:139" ht="12.75">
      <c r="A323" t="s">
        <v>234</v>
      </c>
      <c r="EC323" s="44">
        <v>0</v>
      </c>
      <c r="EH323" s="39"/>
      <c r="EI323" s="252"/>
    </row>
    <row r="324" spans="1:133" ht="12.75">
      <c r="A324" s="183" t="s">
        <v>477</v>
      </c>
      <c r="EC324" s="185">
        <f>SUM(EC320:EC323)</f>
        <v>22593119.65000001</v>
      </c>
    </row>
    <row r="325" spans="1:138" ht="12.75">
      <c r="A325" s="39" t="s">
        <v>275</v>
      </c>
      <c r="EC325" s="44">
        <v>1363921</v>
      </c>
      <c r="EE325" s="1" t="s">
        <v>257</v>
      </c>
      <c r="EH325" s="39" t="s">
        <v>359</v>
      </c>
    </row>
    <row r="326" spans="1:139" ht="12.75">
      <c r="A326" s="39" t="s">
        <v>270</v>
      </c>
      <c r="EC326" s="44">
        <v>-561049</v>
      </c>
      <c r="EE326" s="44">
        <f>EC326</f>
        <v>-561049</v>
      </c>
      <c r="EH326">
        <v>833622.13</v>
      </c>
      <c r="EI326" s="44">
        <v>0</v>
      </c>
    </row>
    <row r="327" spans="1:139" ht="12.75">
      <c r="A327" t="s">
        <v>234</v>
      </c>
      <c r="EC327" s="44">
        <v>0</v>
      </c>
      <c r="EH327" s="39"/>
      <c r="EI327" s="252"/>
    </row>
    <row r="328" spans="1:133" ht="12.75">
      <c r="A328" s="183" t="s">
        <v>490</v>
      </c>
      <c r="EC328" s="185">
        <f>SUM(EC324:EC327)</f>
        <v>23395991.65000001</v>
      </c>
    </row>
    <row r="329" spans="1:138" ht="12.75">
      <c r="A329" s="39" t="s">
        <v>275</v>
      </c>
      <c r="EC329" s="44">
        <v>1363921</v>
      </c>
      <c r="EE329" s="1" t="s">
        <v>257</v>
      </c>
      <c r="EH329" s="39" t="s">
        <v>359</v>
      </c>
    </row>
    <row r="330" spans="1:139" ht="12.75">
      <c r="A330" s="39" t="s">
        <v>270</v>
      </c>
      <c r="EC330" s="44">
        <f>-1582887</f>
        <v>-1582887</v>
      </c>
      <c r="EE330" s="44">
        <f>EE326+EC330</f>
        <v>-2143936</v>
      </c>
      <c r="EH330">
        <v>833622.13</v>
      </c>
      <c r="EI330" s="44">
        <v>0</v>
      </c>
    </row>
    <row r="331" spans="1:143" ht="12.75">
      <c r="A331" t="s">
        <v>234</v>
      </c>
      <c r="EC331" s="44">
        <v>0</v>
      </c>
      <c r="EH331" s="39"/>
      <c r="EI331" s="252"/>
      <c r="EM331">
        <f>2143935.62-561049</f>
        <v>1582886.62</v>
      </c>
    </row>
    <row r="332" spans="1:133" ht="12.75">
      <c r="A332" s="183" t="s">
        <v>491</v>
      </c>
      <c r="EC332" s="185">
        <f>SUM(EC328:EC331)</f>
        <v>23177025.65000001</v>
      </c>
    </row>
    <row r="333" spans="1:138" ht="12.75">
      <c r="A333" s="39" t="s">
        <v>275</v>
      </c>
      <c r="EC333" s="44">
        <v>1363921</v>
      </c>
      <c r="EE333" s="1" t="s">
        <v>257</v>
      </c>
      <c r="EH333" s="39" t="s">
        <v>359</v>
      </c>
    </row>
    <row r="334" spans="1:139" ht="12.75">
      <c r="A334" s="39" t="s">
        <v>270</v>
      </c>
      <c r="EC334" s="44">
        <v>-1986028.73</v>
      </c>
      <c r="EE334" s="44">
        <f>EE330+EC334</f>
        <v>-4129964.73</v>
      </c>
      <c r="EH334">
        <v>833622.13</v>
      </c>
      <c r="EI334" s="44">
        <v>0</v>
      </c>
    </row>
    <row r="335" spans="1:143" ht="12.75">
      <c r="A335" t="s">
        <v>234</v>
      </c>
      <c r="EC335" s="44">
        <v>0</v>
      </c>
      <c r="EH335" s="39"/>
      <c r="EI335" s="252"/>
      <c r="EM335">
        <f>2143935.62-561049</f>
        <v>1582886.62</v>
      </c>
    </row>
    <row r="336" spans="1:133" ht="12.75">
      <c r="A336" s="183" t="s">
        <v>499</v>
      </c>
      <c r="EC336" s="185">
        <f>SUM(EC332:EC335)</f>
        <v>22554917.92000001</v>
      </c>
    </row>
    <row r="337" spans="1:138" ht="12.75">
      <c r="A337" s="39" t="s">
        <v>275</v>
      </c>
      <c r="EC337" s="44">
        <v>1363921</v>
      </c>
      <c r="EE337" s="1" t="s">
        <v>257</v>
      </c>
      <c r="EH337" s="39" t="s">
        <v>359</v>
      </c>
    </row>
    <row r="338" spans="1:139" ht="12.75">
      <c r="A338" s="39" t="s">
        <v>270</v>
      </c>
      <c r="EC338" s="44">
        <v>-8155284.61</v>
      </c>
      <c r="EE338" s="44">
        <f>EE334+EC338</f>
        <v>-12285249.34</v>
      </c>
      <c r="EH338">
        <v>833622.13</v>
      </c>
      <c r="EI338" s="44">
        <v>0</v>
      </c>
    </row>
    <row r="339" spans="1:143" ht="12.75">
      <c r="A339" t="s">
        <v>234</v>
      </c>
      <c r="EC339" s="44">
        <v>0</v>
      </c>
      <c r="EH339" s="39"/>
      <c r="EI339" s="252"/>
      <c r="EM339">
        <f>2143935.62-561049</f>
        <v>1582886.62</v>
      </c>
    </row>
    <row r="340" spans="1:133" ht="12.75">
      <c r="A340" s="183" t="s">
        <v>506</v>
      </c>
      <c r="EC340" s="185">
        <f>SUM(EC336:EC339)</f>
        <v>15763554.31000001</v>
      </c>
    </row>
    <row r="341" spans="1:138" ht="12.75">
      <c r="A341" s="39" t="s">
        <v>275</v>
      </c>
      <c r="EC341" s="44">
        <v>1363921</v>
      </c>
      <c r="EE341" s="1" t="s">
        <v>257</v>
      </c>
      <c r="EH341" s="39" t="s">
        <v>359</v>
      </c>
    </row>
    <row r="342" spans="1:139" ht="12.75">
      <c r="A342" s="39" t="s">
        <v>270</v>
      </c>
      <c r="EC342" s="44">
        <v>-931776.2</v>
      </c>
      <c r="EE342" s="44">
        <f>EE338+EC342</f>
        <v>-13217025.54</v>
      </c>
      <c r="EH342">
        <v>833622.13</v>
      </c>
      <c r="EI342" s="44">
        <v>0</v>
      </c>
    </row>
    <row r="343" spans="1:143" ht="12.75">
      <c r="A343" t="s">
        <v>234</v>
      </c>
      <c r="EC343" s="44">
        <v>0</v>
      </c>
      <c r="EH343" s="39"/>
      <c r="EI343" s="252"/>
      <c r="EM343">
        <f>2143935.62-561049</f>
        <v>1582886.62</v>
      </c>
    </row>
    <row r="344" spans="1:133" ht="12.75">
      <c r="A344" s="183" t="s">
        <v>507</v>
      </c>
      <c r="EC344" s="185">
        <f>SUM(EC340:EC343)</f>
        <v>16195699.11000001</v>
      </c>
    </row>
    <row r="345" spans="1:138" ht="12.75">
      <c r="A345" s="39" t="s">
        <v>275</v>
      </c>
      <c r="EC345" s="44">
        <v>1363921</v>
      </c>
      <c r="EE345" s="1" t="s">
        <v>257</v>
      </c>
      <c r="EH345" s="39" t="s">
        <v>359</v>
      </c>
    </row>
    <row r="346" spans="1:139" ht="12.75">
      <c r="A346" s="39" t="s">
        <v>270</v>
      </c>
      <c r="EC346" s="44">
        <v>-1938526.67</v>
      </c>
      <c r="EE346" s="44">
        <f>EE342+EC346</f>
        <v>-15155552.209999999</v>
      </c>
      <c r="EH346">
        <v>833622.13</v>
      </c>
      <c r="EI346" s="44">
        <v>0</v>
      </c>
    </row>
    <row r="347" spans="1:143" ht="12.75">
      <c r="A347" t="s">
        <v>234</v>
      </c>
      <c r="EC347" s="44">
        <v>0</v>
      </c>
      <c r="EH347" s="39"/>
      <c r="EI347" s="252"/>
      <c r="EM347">
        <f>2143935.62-561049</f>
        <v>1582886.62</v>
      </c>
    </row>
    <row r="348" spans="1:133" ht="12.75">
      <c r="A348" s="183" t="s">
        <v>516</v>
      </c>
      <c r="EC348" s="185">
        <f>SUM(EC344:EC347)</f>
        <v>15621093.44000001</v>
      </c>
    </row>
    <row r="349" spans="1:138" ht="12.75">
      <c r="A349" s="39" t="s">
        <v>275</v>
      </c>
      <c r="EC349" s="44">
        <v>1363921</v>
      </c>
      <c r="EE349" s="1" t="s">
        <v>257</v>
      </c>
      <c r="EH349" s="39" t="s">
        <v>359</v>
      </c>
    </row>
    <row r="350" spans="1:139" ht="12.75">
      <c r="A350" s="39" t="s">
        <v>270</v>
      </c>
      <c r="EC350" s="44">
        <v>-144588.37</v>
      </c>
      <c r="EE350" s="44">
        <f>EE346+EC350</f>
        <v>-15300140.579999998</v>
      </c>
      <c r="EH350">
        <v>833622.13</v>
      </c>
      <c r="EI350" s="44">
        <v>0</v>
      </c>
    </row>
    <row r="351" spans="1:143" ht="12.75">
      <c r="A351" t="s">
        <v>234</v>
      </c>
      <c r="EC351" s="44">
        <v>0</v>
      </c>
      <c r="EH351" s="39"/>
      <c r="EI351" s="252"/>
      <c r="EM351">
        <f>2143935.62-561049</f>
        <v>1582886.62</v>
      </c>
    </row>
    <row r="352" spans="1:133" ht="12.75">
      <c r="A352" s="183" t="s">
        <v>517</v>
      </c>
      <c r="EC352" s="185">
        <f>SUM(EC348:EC351)</f>
        <v>16840426.07000001</v>
      </c>
    </row>
    <row r="353" spans="1:138" ht="12.75">
      <c r="A353" s="39" t="s">
        <v>275</v>
      </c>
      <c r="EC353" s="44">
        <v>1363921</v>
      </c>
      <c r="EE353" s="1" t="s">
        <v>257</v>
      </c>
      <c r="EH353" s="39" t="s">
        <v>359</v>
      </c>
    </row>
    <row r="354" spans="1:139" ht="12.75">
      <c r="A354" s="39" t="s">
        <v>270</v>
      </c>
      <c r="EC354" s="44">
        <v>-660672.59</v>
      </c>
      <c r="EE354" s="44">
        <f>EE350+EC354</f>
        <v>-15960813.169999998</v>
      </c>
      <c r="EH354">
        <v>833622.13</v>
      </c>
      <c r="EI354" s="44">
        <v>0</v>
      </c>
    </row>
    <row r="355" spans="1:143" ht="12.75">
      <c r="A355" t="s">
        <v>234</v>
      </c>
      <c r="EC355" s="44">
        <v>0</v>
      </c>
      <c r="EH355" s="39"/>
      <c r="EI355" s="252"/>
      <c r="EM355">
        <f>2143935.62-561049</f>
        <v>1582886.62</v>
      </c>
    </row>
    <row r="356" spans="1:133" ht="12.75">
      <c r="A356" s="183" t="s">
        <v>518</v>
      </c>
      <c r="EC356" s="185">
        <f>SUM(EC352:EC355)</f>
        <v>17543674.48000001</v>
      </c>
    </row>
    <row r="357" spans="1:138" ht="12.75">
      <c r="A357" s="39" t="s">
        <v>275</v>
      </c>
      <c r="EC357" s="44">
        <f>1363921+4000000</f>
        <v>5363921</v>
      </c>
      <c r="EE357" s="1" t="s">
        <v>257</v>
      </c>
      <c r="EH357" s="39" t="s">
        <v>359</v>
      </c>
    </row>
    <row r="358" spans="1:139" ht="12.75">
      <c r="A358" s="39" t="s">
        <v>270</v>
      </c>
      <c r="EC358" s="44">
        <v>-1149200.37</v>
      </c>
      <c r="EE358" s="44">
        <f>EE354+EC358</f>
        <v>-17110013.54</v>
      </c>
      <c r="EH358">
        <v>833622.13</v>
      </c>
      <c r="EI358" s="44">
        <v>0</v>
      </c>
    </row>
    <row r="359" spans="1:143" ht="12.75">
      <c r="A359" t="s">
        <v>234</v>
      </c>
      <c r="EC359" s="44">
        <v>0</v>
      </c>
      <c r="EH359" s="39"/>
      <c r="EI359" s="252"/>
      <c r="EM359">
        <f>2143935.62-561049</f>
        <v>1582886.62</v>
      </c>
    </row>
    <row r="360" spans="1:133" ht="12.75">
      <c r="A360" s="183" t="s">
        <v>522</v>
      </c>
      <c r="EC360" s="185">
        <f>SUM(EC356:EC359)</f>
        <v>21758395.11000001</v>
      </c>
    </row>
    <row r="361" spans="1:138" ht="12.75">
      <c r="A361" s="39" t="s">
        <v>275</v>
      </c>
      <c r="EC361" s="44">
        <f>1363921+4000000</f>
        <v>5363921</v>
      </c>
      <c r="EE361" s="1" t="s">
        <v>257</v>
      </c>
      <c r="EH361" s="39" t="s">
        <v>359</v>
      </c>
    </row>
    <row r="362" spans="1:139" ht="12.75">
      <c r="A362" s="39" t="s">
        <v>270</v>
      </c>
      <c r="EC362" s="44">
        <v>-5841443</v>
      </c>
      <c r="EE362" s="44">
        <f>EE358+EC362</f>
        <v>-22951456.54</v>
      </c>
      <c r="EH362">
        <v>833622.13</v>
      </c>
      <c r="EI362" s="44">
        <v>0</v>
      </c>
    </row>
    <row r="363" spans="1:143" ht="12.75">
      <c r="A363" t="s">
        <v>234</v>
      </c>
      <c r="EC363" s="44">
        <v>0</v>
      </c>
      <c r="EH363" s="39"/>
      <c r="EI363" s="252"/>
      <c r="EM363">
        <f>2143935.62-561049</f>
        <v>1582886.62</v>
      </c>
    </row>
    <row r="364" spans="1:133" ht="12.75">
      <c r="A364" s="183" t="s">
        <v>526</v>
      </c>
      <c r="EC364" s="185">
        <f>SUM(EC360:EC363)</f>
        <v>21280873.11000001</v>
      </c>
    </row>
    <row r="365" spans="1:138" ht="12.75">
      <c r="A365" s="39" t="s">
        <v>275</v>
      </c>
      <c r="EC365" s="44">
        <f>1363921+3000000</f>
        <v>4363921</v>
      </c>
      <c r="EE365" s="1" t="s">
        <v>257</v>
      </c>
      <c r="EH365" s="39" t="s">
        <v>359</v>
      </c>
    </row>
    <row r="366" spans="1:139" ht="12.75">
      <c r="A366" s="39" t="s">
        <v>270</v>
      </c>
      <c r="EC366" s="44">
        <v>-4911253.07</v>
      </c>
      <c r="EE366" s="44">
        <f>EE362+EC366</f>
        <v>-27862709.61</v>
      </c>
      <c r="EH366">
        <v>833622.13</v>
      </c>
      <c r="EI366" s="44">
        <v>0</v>
      </c>
    </row>
    <row r="367" spans="1:145" ht="12.75">
      <c r="A367" t="s">
        <v>234</v>
      </c>
      <c r="EC367" s="44">
        <v>0</v>
      </c>
      <c r="EH367" s="39"/>
      <c r="EI367" s="252"/>
      <c r="EM367">
        <f>2143935.62-561049</f>
        <v>1582886.62</v>
      </c>
      <c r="EO367" s="299"/>
    </row>
    <row r="368" spans="1:145" ht="12.75">
      <c r="A368" s="183" t="s">
        <v>530</v>
      </c>
      <c r="EC368" s="185">
        <f>SUM(EC364:EC367)</f>
        <v>20733541.04000001</v>
      </c>
      <c r="EO368" s="54"/>
    </row>
    <row r="369" spans="1:145" ht="12.75">
      <c r="A369" s="39" t="s">
        <v>275</v>
      </c>
      <c r="EC369" s="44">
        <f>1363921+3000000</f>
        <v>4363921</v>
      </c>
      <c r="EE369" s="1" t="s">
        <v>257</v>
      </c>
      <c r="EH369" s="39" t="s">
        <v>359</v>
      </c>
      <c r="EO369" s="54">
        <v>22593119.65000001</v>
      </c>
    </row>
    <row r="370" spans="1:145" ht="12.75">
      <c r="A370" s="39" t="s">
        <v>270</v>
      </c>
      <c r="EC370" s="44">
        <f>-4911253.07-670401.96</f>
        <v>-5581655.03</v>
      </c>
      <c r="EE370" s="44">
        <f>EE366+EC370</f>
        <v>-33444364.64</v>
      </c>
      <c r="EH370">
        <v>833622.13</v>
      </c>
      <c r="EI370" s="44">
        <v>0</v>
      </c>
      <c r="EO370" s="54"/>
    </row>
    <row r="371" spans="1:145" ht="12.75">
      <c r="A371" t="s">
        <v>234</v>
      </c>
      <c r="EC371" s="44">
        <v>0</v>
      </c>
      <c r="EH371" s="39"/>
      <c r="EI371" s="252"/>
      <c r="EM371">
        <f>2143935.62-561049</f>
        <v>1582886.62</v>
      </c>
      <c r="EO371" s="54">
        <v>-63744760.64</v>
      </c>
    </row>
    <row r="372" spans="1:145" ht="12.75">
      <c r="A372" s="183" t="s">
        <v>537</v>
      </c>
      <c r="EC372" s="185">
        <f>SUM(EC368:EC371)</f>
        <v>19515807.01000001</v>
      </c>
      <c r="EO372" s="54">
        <v>83260567.65</v>
      </c>
    </row>
    <row r="373" spans="1:145" ht="12.75">
      <c r="A373" s="39" t="s">
        <v>275</v>
      </c>
      <c r="EC373" s="44">
        <v>3425614.17</v>
      </c>
      <c r="EE373" s="1" t="s">
        <v>257</v>
      </c>
      <c r="EH373" s="39" t="s">
        <v>359</v>
      </c>
      <c r="EO373" s="54">
        <v>22593119.65000001</v>
      </c>
    </row>
    <row r="374" spans="1:145" ht="12.75">
      <c r="A374" s="39" t="s">
        <v>270</v>
      </c>
      <c r="EC374" s="44">
        <f>-1201256.3</f>
        <v>-1201256.3</v>
      </c>
      <c r="EE374" s="44">
        <f>EC374</f>
        <v>-1201256.3</v>
      </c>
      <c r="EH374">
        <v>833622.13</v>
      </c>
      <c r="EI374" s="44">
        <v>0</v>
      </c>
      <c r="EO374" s="54"/>
    </row>
    <row r="375" spans="1:145" ht="12.75">
      <c r="A375" t="s">
        <v>234</v>
      </c>
      <c r="EC375" s="44">
        <v>0</v>
      </c>
      <c r="EH375" s="39"/>
      <c r="EI375" s="252"/>
      <c r="EM375">
        <f>2143935.62-561049</f>
        <v>1582886.62</v>
      </c>
      <c r="EO375" s="54">
        <v>-63744760.64</v>
      </c>
    </row>
    <row r="376" spans="1:145" ht="12.75">
      <c r="A376" s="183" t="s">
        <v>549</v>
      </c>
      <c r="EC376" s="185">
        <f>SUM(EC372:EC375)</f>
        <v>21740164.880000006</v>
      </c>
      <c r="EO376" s="54">
        <v>83260567.65</v>
      </c>
    </row>
    <row r="377" spans="1:145" ht="12.75">
      <c r="A377" s="39" t="s">
        <v>275</v>
      </c>
      <c r="EC377" s="44">
        <f>3425614.17</f>
        <v>3425614.17</v>
      </c>
      <c r="EE377" s="1" t="s">
        <v>257</v>
      </c>
      <c r="EH377" s="39" t="s">
        <v>359</v>
      </c>
      <c r="EO377" s="54">
        <v>22593119.65000001</v>
      </c>
    </row>
    <row r="378" spans="1:145" ht="12.75">
      <c r="A378" s="39" t="s">
        <v>270</v>
      </c>
      <c r="EC378" s="44">
        <v>-3480838.08</v>
      </c>
      <c r="EE378" s="44">
        <f>EE374+EC378</f>
        <v>-4682094.38</v>
      </c>
      <c r="EH378">
        <v>833622.13</v>
      </c>
      <c r="EI378" s="44">
        <v>0</v>
      </c>
      <c r="EO378" s="54"/>
    </row>
    <row r="379" spans="1:145" ht="12.75">
      <c r="A379" t="s">
        <v>234</v>
      </c>
      <c r="EC379" s="44">
        <v>0</v>
      </c>
      <c r="EH379" s="39"/>
      <c r="EI379" s="252"/>
      <c r="EM379">
        <f>2143935.62-561049</f>
        <v>1582886.62</v>
      </c>
      <c r="EO379" s="54">
        <v>-63744760.64</v>
      </c>
    </row>
    <row r="380" spans="1:145" ht="12.75">
      <c r="A380" s="183" t="s">
        <v>550</v>
      </c>
      <c r="EC380" s="185">
        <f>SUM(EC376:EC379)</f>
        <v>21684940.970000006</v>
      </c>
      <c r="EO380" s="54">
        <v>83260567.65</v>
      </c>
    </row>
    <row r="381" spans="1:145" ht="12.75">
      <c r="A381" s="39" t="s">
        <v>275</v>
      </c>
      <c r="EC381" s="44">
        <v>3425614.17</v>
      </c>
      <c r="EE381" s="1" t="s">
        <v>257</v>
      </c>
      <c r="EH381" s="39" t="s">
        <v>359</v>
      </c>
      <c r="EO381" s="54">
        <v>22593119.65000001</v>
      </c>
    </row>
    <row r="382" spans="1:145" ht="12.75">
      <c r="A382" s="39" t="s">
        <v>270</v>
      </c>
      <c r="EC382" s="44">
        <v>-2317817.88</v>
      </c>
      <c r="EE382" s="44">
        <f>EE378+EC382</f>
        <v>-6999912.26</v>
      </c>
      <c r="EF382">
        <v>-20175438.59</v>
      </c>
      <c r="EG382" s="44">
        <f>EE382+EF382</f>
        <v>-27175350.85</v>
      </c>
      <c r="EH382">
        <v>833622.13</v>
      </c>
      <c r="EI382" s="44">
        <v>0</v>
      </c>
      <c r="EO382" s="54"/>
    </row>
    <row r="383" spans="1:145" ht="12.75">
      <c r="A383" t="s">
        <v>234</v>
      </c>
      <c r="EC383" s="44">
        <v>0</v>
      </c>
      <c r="EH383" s="39"/>
      <c r="EI383" s="252"/>
      <c r="EM383">
        <f>2143935.62-561049</f>
        <v>1582886.62</v>
      </c>
      <c r="EO383" s="54">
        <v>-63744760.64</v>
      </c>
    </row>
    <row r="384" spans="1:145" ht="12.75">
      <c r="A384" s="183" t="s">
        <v>551</v>
      </c>
      <c r="EC384" s="185">
        <f>SUM(EC380:EC383)</f>
        <v>22792737.26000001</v>
      </c>
      <c r="EO384" s="54">
        <v>83260567.65</v>
      </c>
    </row>
    <row r="385" spans="1:145" ht="12.75">
      <c r="A385" s="39" t="s">
        <v>275</v>
      </c>
      <c r="EC385" s="44">
        <f>3425614.17+3000000+3000000</f>
        <v>9425614.17</v>
      </c>
      <c r="EE385" s="1" t="s">
        <v>257</v>
      </c>
      <c r="EH385" s="39" t="s">
        <v>359</v>
      </c>
      <c r="EO385" s="54">
        <v>22593119.65000001</v>
      </c>
    </row>
    <row r="386" spans="1:145" ht="12.75">
      <c r="A386" s="39" t="s">
        <v>270</v>
      </c>
      <c r="EC386" s="44">
        <v>-12656955.95</v>
      </c>
      <c r="EE386" s="44">
        <f>EE382+EC386</f>
        <v>-19656868.21</v>
      </c>
      <c r="EF386">
        <v>-20175438.59</v>
      </c>
      <c r="EG386" s="44">
        <f>EE386+EF386</f>
        <v>-39832306.8</v>
      </c>
      <c r="EH386">
        <v>833622.13</v>
      </c>
      <c r="EI386" s="44">
        <v>0</v>
      </c>
      <c r="EO386" s="54"/>
    </row>
    <row r="387" spans="1:145" ht="12.75">
      <c r="A387" t="s">
        <v>234</v>
      </c>
      <c r="EC387" s="44">
        <v>0</v>
      </c>
      <c r="EH387" s="39"/>
      <c r="EI387" s="252"/>
      <c r="EM387">
        <f>2143935.62-561049</f>
        <v>1582886.62</v>
      </c>
      <c r="EO387" s="54">
        <v>-63744760.64</v>
      </c>
    </row>
    <row r="388" spans="1:145" ht="12.75">
      <c r="A388" s="183" t="s">
        <v>556</v>
      </c>
      <c r="EC388" s="185">
        <f>SUM(EC384:EC387)</f>
        <v>19561395.480000008</v>
      </c>
      <c r="EO388" s="54">
        <v>83260567.65</v>
      </c>
    </row>
    <row r="389" spans="1:145" ht="12.75">
      <c r="A389" s="39" t="s">
        <v>275</v>
      </c>
      <c r="EC389" s="44">
        <f>3425614.17+3000000+3000000</f>
        <v>9425614.17</v>
      </c>
      <c r="EE389" s="1" t="s">
        <v>257</v>
      </c>
      <c r="EH389" s="39" t="s">
        <v>359</v>
      </c>
      <c r="EO389" s="54">
        <v>22593119.65000001</v>
      </c>
    </row>
    <row r="390" spans="1:145" ht="12.75">
      <c r="A390" s="39" t="s">
        <v>270</v>
      </c>
      <c r="EC390" s="44">
        <v>-10575673.98</v>
      </c>
      <c r="EE390" s="44">
        <f>EE386+EC390</f>
        <v>-30232542.19</v>
      </c>
      <c r="EF390">
        <v>-20175438.59</v>
      </c>
      <c r="EG390" s="44">
        <f>EE390+EF390</f>
        <v>-50407980.78</v>
      </c>
      <c r="EH390">
        <v>833622.13</v>
      </c>
      <c r="EI390" s="44">
        <v>0</v>
      </c>
      <c r="EO390" s="54"/>
    </row>
    <row r="391" spans="1:145" ht="12.75">
      <c r="A391" t="s">
        <v>234</v>
      </c>
      <c r="EC391" s="44">
        <v>0</v>
      </c>
      <c r="EH391" s="39"/>
      <c r="EI391" s="252"/>
      <c r="EM391">
        <f>2143935.62-561049</f>
        <v>1582886.62</v>
      </c>
      <c r="EO391" s="54">
        <v>-63744760.64</v>
      </c>
    </row>
    <row r="392" spans="1:145" ht="12.75">
      <c r="A392" s="183" t="s">
        <v>559</v>
      </c>
      <c r="EC392" s="185">
        <f>SUM(EC388:EC391)</f>
        <v>18411335.670000006</v>
      </c>
      <c r="EO392" s="54">
        <v>83260567.65</v>
      </c>
    </row>
    <row r="393" spans="1:145" ht="12.75">
      <c r="A393" s="39" t="s">
        <v>275</v>
      </c>
      <c r="EC393" s="44">
        <f>3425614.17+3000000</f>
        <v>6425614.17</v>
      </c>
      <c r="EE393" s="1" t="s">
        <v>257</v>
      </c>
      <c r="EH393" s="39" t="s">
        <v>359</v>
      </c>
      <c r="EO393" s="54">
        <v>22593119.65000001</v>
      </c>
    </row>
    <row r="394" spans="1:145" ht="12.75">
      <c r="A394" s="39" t="s">
        <v>270</v>
      </c>
      <c r="EC394" s="44">
        <v>-1944104.34</v>
      </c>
      <c r="EE394" s="44">
        <f>EE390+EC394</f>
        <v>-32176646.53</v>
      </c>
      <c r="EF394">
        <v>-20175438.59</v>
      </c>
      <c r="EG394" s="44">
        <f>EE394+EF394</f>
        <v>-52352085.120000005</v>
      </c>
      <c r="EH394">
        <v>833622.13</v>
      </c>
      <c r="EI394" s="44">
        <v>0</v>
      </c>
      <c r="EO394" s="54"/>
    </row>
    <row r="395" spans="1:145" ht="12.75">
      <c r="A395" t="s">
        <v>234</v>
      </c>
      <c r="EC395" s="44">
        <v>0</v>
      </c>
      <c r="EH395" s="39"/>
      <c r="EI395" s="252"/>
      <c r="EM395">
        <f>2143935.62-561049</f>
        <v>1582886.62</v>
      </c>
      <c r="EO395" s="54">
        <v>-63744760.64</v>
      </c>
    </row>
    <row r="396" spans="1:145" ht="12.75">
      <c r="A396" s="183" t="s">
        <v>563</v>
      </c>
      <c r="EC396" s="185">
        <f>SUM(EC392:EC395)</f>
        <v>22892845.500000004</v>
      </c>
      <c r="EO396" s="54">
        <v>83260567.65</v>
      </c>
    </row>
    <row r="397" spans="1:145" ht="12.75">
      <c r="A397" s="39" t="s">
        <v>275</v>
      </c>
      <c r="EC397" s="44">
        <f>3425614.17+3000000</f>
        <v>6425614.17</v>
      </c>
      <c r="EE397" s="1" t="s">
        <v>257</v>
      </c>
      <c r="EH397" s="39" t="s">
        <v>359</v>
      </c>
      <c r="EO397" s="54">
        <v>22593119.65000001</v>
      </c>
    </row>
    <row r="398" spans="1:145" ht="12.75">
      <c r="A398" s="39" t="s">
        <v>270</v>
      </c>
      <c r="EC398" s="44">
        <v>-1496873.22</v>
      </c>
      <c r="EE398" s="44">
        <f>EE394+EC398</f>
        <v>-33673519.75</v>
      </c>
      <c r="EF398">
        <v>-20175438.59</v>
      </c>
      <c r="EG398" s="44">
        <f>EE398+EF398</f>
        <v>-53848958.34</v>
      </c>
      <c r="EH398">
        <v>833622.13</v>
      </c>
      <c r="EI398" s="44">
        <v>0</v>
      </c>
      <c r="EO398" s="54"/>
    </row>
    <row r="399" spans="1:145" ht="12.75">
      <c r="A399" t="s">
        <v>234</v>
      </c>
      <c r="EC399" s="44">
        <v>0</v>
      </c>
      <c r="EH399" s="39"/>
      <c r="EI399" s="252"/>
      <c r="EM399">
        <f>2143935.62-561049</f>
        <v>1582886.62</v>
      </c>
      <c r="EO399" s="54">
        <v>-63744760.64</v>
      </c>
    </row>
    <row r="400" spans="1:145" ht="12.75">
      <c r="A400" s="183" t="s">
        <v>564</v>
      </c>
      <c r="EC400" s="185">
        <f>SUM(EC396:EC399)</f>
        <v>27821586.450000003</v>
      </c>
      <c r="EO400" s="54">
        <v>83260567.65</v>
      </c>
    </row>
    <row r="401" spans="1:145" ht="12.75">
      <c r="A401" s="39" t="s">
        <v>275</v>
      </c>
      <c r="EC401" s="44">
        <f>3425614.17+3000000</f>
        <v>6425614.17</v>
      </c>
      <c r="EE401" s="1" t="s">
        <v>257</v>
      </c>
      <c r="EH401" s="39" t="s">
        <v>359</v>
      </c>
      <c r="EO401" s="54">
        <v>22593119.65000001</v>
      </c>
    </row>
    <row r="402" spans="1:145" ht="12.75">
      <c r="A402" s="39" t="s">
        <v>270</v>
      </c>
      <c r="EC402" s="44">
        <v>-1570006.58</v>
      </c>
      <c r="EE402" s="44">
        <f>EE398+EC402</f>
        <v>-35243526.33</v>
      </c>
      <c r="EF402">
        <v>-20175438.59</v>
      </c>
      <c r="EG402" s="44">
        <f>EE402+EF402</f>
        <v>-55418964.92</v>
      </c>
      <c r="EH402">
        <v>833622.13</v>
      </c>
      <c r="EI402" s="44">
        <v>0</v>
      </c>
      <c r="EO402" s="54"/>
    </row>
    <row r="403" spans="1:145" ht="12.75">
      <c r="A403" t="s">
        <v>234</v>
      </c>
      <c r="EC403" s="44">
        <v>0</v>
      </c>
      <c r="EH403" s="39"/>
      <c r="EI403" s="252"/>
      <c r="EM403">
        <f>2143935.62-561049</f>
        <v>1582886.62</v>
      </c>
      <c r="EO403" s="54">
        <v>-63744760.64</v>
      </c>
    </row>
    <row r="404" spans="1:145" ht="12.75">
      <c r="A404" s="183" t="s">
        <v>570</v>
      </c>
      <c r="EC404" s="185">
        <f>SUM(EC400:EC403)</f>
        <v>32677194.040000007</v>
      </c>
      <c r="EO404" s="54">
        <v>83260567.65</v>
      </c>
    </row>
    <row r="405" spans="1:145" ht="12.75">
      <c r="A405" s="39" t="s">
        <v>275</v>
      </c>
      <c r="EC405" s="44">
        <f>3425614.17+1000000</f>
        <v>4425614.17</v>
      </c>
      <c r="EE405" s="1" t="s">
        <v>257</v>
      </c>
      <c r="EH405" s="39" t="s">
        <v>359</v>
      </c>
      <c r="EO405" s="54">
        <v>22593119.65000001</v>
      </c>
    </row>
    <row r="406" spans="1:145" ht="12.75">
      <c r="A406" s="39" t="s">
        <v>270</v>
      </c>
      <c r="EC406" s="44">
        <v>-3422779.65</v>
      </c>
      <c r="EE406" s="44">
        <f>EE402+EC406</f>
        <v>-38666305.98</v>
      </c>
      <c r="EF406">
        <v>-20175438.59</v>
      </c>
      <c r="EG406" s="44">
        <f>EE406+EF406</f>
        <v>-58841744.56999999</v>
      </c>
      <c r="EH406">
        <v>833622.13</v>
      </c>
      <c r="EI406" s="44">
        <v>0</v>
      </c>
      <c r="EO406" s="54"/>
    </row>
    <row r="407" spans="1:145" ht="12.75">
      <c r="A407" t="s">
        <v>234</v>
      </c>
      <c r="EC407" s="44">
        <v>0</v>
      </c>
      <c r="EH407" s="39"/>
      <c r="EI407" s="252"/>
      <c r="EM407">
        <f>2143935.62-561049</f>
        <v>1582886.62</v>
      </c>
      <c r="EO407" s="54">
        <v>-63744760.64</v>
      </c>
    </row>
    <row r="408" spans="1:145" ht="12.75">
      <c r="A408" s="183" t="s">
        <v>573</v>
      </c>
      <c r="EC408" s="185">
        <f>SUM(EC404:EC407)</f>
        <v>33680028.56000001</v>
      </c>
      <c r="EO408" s="54">
        <v>83260567.65</v>
      </c>
    </row>
    <row r="409" spans="1:145" ht="12.75">
      <c r="A409" s="39" t="s">
        <v>275</v>
      </c>
      <c r="EC409" s="44">
        <f>3425614.17+1000000</f>
        <v>4425614.17</v>
      </c>
      <c r="EE409" s="1" t="s">
        <v>257</v>
      </c>
      <c r="EH409" s="39" t="s">
        <v>359</v>
      </c>
      <c r="EO409" s="54">
        <v>22593119.65000001</v>
      </c>
    </row>
    <row r="410" spans="1:145" ht="12.75">
      <c r="A410" s="39" t="s">
        <v>270</v>
      </c>
      <c r="EC410" s="44">
        <v>-1371535.36</v>
      </c>
      <c r="EE410" s="44">
        <f>EE406+EC410</f>
        <v>-40037841.339999996</v>
      </c>
      <c r="EF410">
        <v>-20175438.59</v>
      </c>
      <c r="EG410" s="44">
        <f>EE410+EF410</f>
        <v>-60213279.92999999</v>
      </c>
      <c r="EH410">
        <v>833622.13</v>
      </c>
      <c r="EI410" s="44">
        <v>0</v>
      </c>
      <c r="EO410" s="54"/>
    </row>
    <row r="411" spans="1:145" ht="12.75">
      <c r="A411" t="s">
        <v>234</v>
      </c>
      <c r="EC411" s="44">
        <v>0</v>
      </c>
      <c r="EH411" s="39"/>
      <c r="EI411" s="252"/>
      <c r="EM411">
        <f>2143935.62-561049</f>
        <v>1582886.62</v>
      </c>
      <c r="EO411" s="54">
        <v>-63744760.64</v>
      </c>
    </row>
    <row r="412" spans="1:145" ht="12.75">
      <c r="A412" s="183" t="s">
        <v>578</v>
      </c>
      <c r="EC412" s="185">
        <f>SUM(EC408:EC411)</f>
        <v>36734107.37000001</v>
      </c>
      <c r="EO412" s="54">
        <v>83260567.65</v>
      </c>
    </row>
    <row r="413" spans="1:145" ht="12.75">
      <c r="A413" s="39" t="s">
        <v>275</v>
      </c>
      <c r="EC413" s="44">
        <f>3425614.17+5000000</f>
        <v>8425614.17</v>
      </c>
      <c r="EE413" s="1" t="s">
        <v>257</v>
      </c>
      <c r="EH413" s="39" t="s">
        <v>359</v>
      </c>
      <c r="EO413" s="54">
        <v>22593119.65000001</v>
      </c>
    </row>
    <row r="414" spans="1:145" ht="12.75">
      <c r="A414" s="39" t="s">
        <v>270</v>
      </c>
      <c r="EC414" s="44">
        <v>-10362084.85</v>
      </c>
      <c r="EE414" s="44">
        <f>EE410+EC414</f>
        <v>-50399926.19</v>
      </c>
      <c r="EF414">
        <v>-20175438.59</v>
      </c>
      <c r="EG414" s="44">
        <f>EE414+EF414</f>
        <v>-70575364.78</v>
      </c>
      <c r="EH414">
        <v>833622.13</v>
      </c>
      <c r="EI414" s="44">
        <v>0</v>
      </c>
      <c r="EO414" s="54"/>
    </row>
    <row r="415" spans="1:145" ht="12.75">
      <c r="A415" t="s">
        <v>234</v>
      </c>
      <c r="EC415" s="44">
        <v>0</v>
      </c>
      <c r="EH415" s="39"/>
      <c r="EI415" s="252"/>
      <c r="EM415">
        <f>2143935.62-561049</f>
        <v>1582886.62</v>
      </c>
      <c r="EO415" s="54">
        <v>-63744760.64</v>
      </c>
    </row>
    <row r="416" spans="1:145" ht="12.75">
      <c r="A416" s="183" t="s">
        <v>581</v>
      </c>
      <c r="EC416" s="185">
        <f>SUM(EC412:EC415)</f>
        <v>34797636.69000001</v>
      </c>
      <c r="EO416" s="54">
        <v>83260567.65</v>
      </c>
    </row>
    <row r="417" spans="1:145" ht="12.75">
      <c r="A417" s="39" t="s">
        <v>275</v>
      </c>
      <c r="EC417" s="44">
        <f>3425614.17+5000000</f>
        <v>8425614.17</v>
      </c>
      <c r="EE417" s="1" t="s">
        <v>257</v>
      </c>
      <c r="EH417" s="39" t="s">
        <v>359</v>
      </c>
      <c r="EO417" s="54">
        <v>22593119.65000001</v>
      </c>
    </row>
    <row r="418" spans="1:145" ht="12.75">
      <c r="A418" s="39" t="s">
        <v>270</v>
      </c>
      <c r="EC418" s="44">
        <v>-17100858.99</v>
      </c>
      <c r="EE418" s="44">
        <f>EE414+EC418</f>
        <v>-67500785.17999999</v>
      </c>
      <c r="EF418">
        <v>-20175438.59</v>
      </c>
      <c r="EG418" s="44">
        <f>EE418+EF418</f>
        <v>-87676223.77</v>
      </c>
      <c r="EH418">
        <v>833622.13</v>
      </c>
      <c r="EI418" s="44">
        <v>0</v>
      </c>
      <c r="EO418" s="54"/>
    </row>
    <row r="419" spans="1:145" ht="12.75">
      <c r="A419" t="s">
        <v>234</v>
      </c>
      <c r="EC419" s="44">
        <v>0</v>
      </c>
      <c r="EH419" s="39"/>
      <c r="EI419" s="252"/>
      <c r="EM419">
        <f>2143935.62-561049</f>
        <v>1582886.62</v>
      </c>
      <c r="EO419" s="54">
        <v>-63744760.64</v>
      </c>
    </row>
    <row r="420" spans="1:145" ht="12.75">
      <c r="A420" s="183" t="s">
        <v>593</v>
      </c>
      <c r="EC420" s="185">
        <f>SUM(EC416:EC419)</f>
        <v>26122391.870000016</v>
      </c>
      <c r="EO420" s="54">
        <v>83260567.65</v>
      </c>
    </row>
    <row r="421" spans="1:145" ht="12.75">
      <c r="A421" s="39" t="s">
        <v>275</v>
      </c>
      <c r="EC421" s="44">
        <f>7000000+3000000</f>
        <v>10000000</v>
      </c>
      <c r="EE421" s="1" t="s">
        <v>257</v>
      </c>
      <c r="EH421" s="39" t="s">
        <v>359</v>
      </c>
      <c r="EO421" s="54">
        <v>22593119.65000001</v>
      </c>
    </row>
    <row r="422" spans="1:145" ht="12.75">
      <c r="A422" s="39" t="s">
        <v>270</v>
      </c>
      <c r="EC422" s="44">
        <v>-1124618.88</v>
      </c>
      <c r="EE422" s="44">
        <f>EC422</f>
        <v>-1124618.88</v>
      </c>
      <c r="EF422">
        <v>0</v>
      </c>
      <c r="EG422" s="44">
        <f>EE422+EF422</f>
        <v>-1124618.88</v>
      </c>
      <c r="EH422">
        <v>0</v>
      </c>
      <c r="EI422" s="44">
        <v>0</v>
      </c>
      <c r="EO422" s="54"/>
    </row>
    <row r="423" spans="1:145" ht="12.75">
      <c r="A423" t="s">
        <v>234</v>
      </c>
      <c r="EC423" s="44">
        <v>0</v>
      </c>
      <c r="EH423" s="39"/>
      <c r="EI423" s="252"/>
      <c r="EM423">
        <f>2143935.62-561049</f>
        <v>1582886.62</v>
      </c>
      <c r="EO423" s="54">
        <v>-63744760.64</v>
      </c>
    </row>
    <row r="424" spans="1:145" ht="12.75">
      <c r="A424" s="183" t="s">
        <v>594</v>
      </c>
      <c r="EC424" s="185">
        <f>SUM(EC420:EC423)</f>
        <v>34997772.99000002</v>
      </c>
      <c r="EO424" s="54">
        <v>83260567.65</v>
      </c>
    </row>
    <row r="425" spans="1:145" ht="12.75">
      <c r="A425" s="39" t="s">
        <v>275</v>
      </c>
      <c r="EC425" s="44">
        <f>7000000</f>
        <v>7000000</v>
      </c>
      <c r="EE425" s="1" t="s">
        <v>257</v>
      </c>
      <c r="EH425" s="39" t="s">
        <v>359</v>
      </c>
      <c r="EO425" s="54">
        <v>22593119.65000001</v>
      </c>
    </row>
    <row r="426" spans="1:145" ht="12.75">
      <c r="A426" s="39" t="s">
        <v>270</v>
      </c>
      <c r="EC426" s="44">
        <v>-5946476.23</v>
      </c>
      <c r="EE426" s="44">
        <f>EE422+EC426</f>
        <v>-7071095.11</v>
      </c>
      <c r="EF426">
        <v>0</v>
      </c>
      <c r="EG426" s="44">
        <f>EE426+EF426</f>
        <v>-7071095.11</v>
      </c>
      <c r="EH426">
        <v>0</v>
      </c>
      <c r="EI426" s="44">
        <v>0</v>
      </c>
      <c r="EO426" s="54"/>
    </row>
    <row r="427" spans="1:145" ht="12.75">
      <c r="A427" t="s">
        <v>234</v>
      </c>
      <c r="EC427" s="44">
        <v>0</v>
      </c>
      <c r="EH427" s="39"/>
      <c r="EI427" s="252"/>
      <c r="EM427">
        <f>2143935.62-561049</f>
        <v>1582886.62</v>
      </c>
      <c r="EO427" s="54">
        <v>-63744760.64</v>
      </c>
    </row>
    <row r="428" spans="1:145" ht="12.75">
      <c r="A428" s="183" t="s">
        <v>595</v>
      </c>
      <c r="EC428" s="185">
        <f>SUM(EC424:EC427)</f>
        <v>36051296.76000002</v>
      </c>
      <c r="EO428" s="54">
        <v>83260567.65</v>
      </c>
    </row>
    <row r="429" spans="1:145" ht="12.75">
      <c r="A429" s="39" t="s">
        <v>275</v>
      </c>
      <c r="EC429" s="44">
        <f>3000000</f>
        <v>3000000</v>
      </c>
      <c r="EE429" s="1" t="s">
        <v>257</v>
      </c>
      <c r="EH429" s="39" t="s">
        <v>359</v>
      </c>
      <c r="EO429" s="54">
        <v>22593119.65000001</v>
      </c>
    </row>
    <row r="430" spans="1:145" ht="12.75">
      <c r="A430" s="39" t="s">
        <v>270</v>
      </c>
      <c r="EC430" s="44">
        <v>-2913360.71</v>
      </c>
      <c r="EE430" s="44">
        <f>EE426+EC430</f>
        <v>-9984455.82</v>
      </c>
      <c r="EF430">
        <v>0</v>
      </c>
      <c r="EG430" s="44">
        <f>EE430+EF430</f>
        <v>-9984455.82</v>
      </c>
      <c r="EH430">
        <v>0</v>
      </c>
      <c r="EI430" s="44">
        <v>0</v>
      </c>
      <c r="EO430" s="54"/>
    </row>
    <row r="431" spans="1:145" ht="12.75">
      <c r="A431" t="s">
        <v>234</v>
      </c>
      <c r="EC431" s="44">
        <v>0</v>
      </c>
      <c r="EH431" s="39"/>
      <c r="EI431" s="252"/>
      <c r="EM431">
        <f>2143935.62-561049</f>
        <v>1582886.62</v>
      </c>
      <c r="EO431" s="54">
        <v>-63744760.64</v>
      </c>
    </row>
    <row r="432" spans="1:145" ht="12.75">
      <c r="A432" s="183" t="s">
        <v>596</v>
      </c>
      <c r="EC432" s="185">
        <f>SUM(EC428:EC431)</f>
        <v>36137936.05000002</v>
      </c>
      <c r="EO432" s="54">
        <v>83260567.65</v>
      </c>
    </row>
    <row r="433" spans="1:145" ht="12.75">
      <c r="A433" s="39" t="s">
        <v>275</v>
      </c>
      <c r="EC433" s="44">
        <f>3000000+3000000</f>
        <v>6000000</v>
      </c>
      <c r="EE433" s="32" t="s">
        <v>257</v>
      </c>
      <c r="EF433" s="32" t="s">
        <v>600</v>
      </c>
      <c r="EH433" s="39" t="s">
        <v>359</v>
      </c>
      <c r="EO433" s="54">
        <v>22593119.65000001</v>
      </c>
    </row>
    <row r="434" spans="1:145" ht="12.75">
      <c r="A434" s="39" t="s">
        <v>270</v>
      </c>
      <c r="EC434" s="44">
        <f>-5785051.7+146792.63</f>
        <v>-5638259.07</v>
      </c>
      <c r="EE434" s="44">
        <f>EE430+EC434</f>
        <v>-15622714.89</v>
      </c>
      <c r="EF434" s="44">
        <f>EC421+EC425+EC429+EC433</f>
        <v>26000000</v>
      </c>
      <c r="EG434" s="44">
        <v>0</v>
      </c>
      <c r="EH434">
        <v>0</v>
      </c>
      <c r="EI434" s="44">
        <v>0</v>
      </c>
      <c r="EO434" s="54"/>
    </row>
    <row r="435" spans="1:145" ht="12.75">
      <c r="A435" t="s">
        <v>234</v>
      </c>
      <c r="EC435" s="44">
        <v>0</v>
      </c>
      <c r="EH435" s="39"/>
      <c r="EI435" s="252"/>
      <c r="EM435">
        <f>2143935.62-561049</f>
        <v>1582886.62</v>
      </c>
      <c r="EO435" s="54">
        <v>-63744760.64</v>
      </c>
    </row>
    <row r="436" spans="1:145" ht="12.75">
      <c r="A436" s="183" t="s">
        <v>599</v>
      </c>
      <c r="EC436" s="185">
        <f>SUM(EC432:EC435)</f>
        <v>36499676.98000002</v>
      </c>
      <c r="EO436" s="54">
        <v>83260567.65</v>
      </c>
    </row>
    <row r="437" spans="1:145" ht="12.75">
      <c r="A437" s="39" t="s">
        <v>275</v>
      </c>
      <c r="EC437" s="44">
        <f>3000000+3000000</f>
        <v>6000000</v>
      </c>
      <c r="EE437" s="32" t="s">
        <v>257</v>
      </c>
      <c r="EF437" s="32" t="s">
        <v>600</v>
      </c>
      <c r="EH437" s="39" t="s">
        <v>359</v>
      </c>
      <c r="EO437" s="54">
        <v>22593119.65000001</v>
      </c>
    </row>
    <row r="438" spans="1:145" ht="12.75">
      <c r="A438" s="39" t="s">
        <v>270</v>
      </c>
      <c r="EC438" s="44">
        <v>-4959846.01</v>
      </c>
      <c r="EE438" s="44">
        <f>EE434+EC438</f>
        <v>-20582560.9</v>
      </c>
      <c r="EF438" s="44">
        <f>EC425+EC429+EC433+EC437+EC421</f>
        <v>32000000</v>
      </c>
      <c r="EG438" s="44">
        <v>0</v>
      </c>
      <c r="EH438">
        <v>0</v>
      </c>
      <c r="EI438" s="44">
        <v>0</v>
      </c>
      <c r="EO438" s="54"/>
    </row>
    <row r="439" spans="1:145" ht="12.75">
      <c r="A439" t="s">
        <v>234</v>
      </c>
      <c r="EC439" s="44">
        <v>0</v>
      </c>
      <c r="EH439" s="39"/>
      <c r="EI439" s="252"/>
      <c r="EM439">
        <f>2143935.62-561049</f>
        <v>1582886.62</v>
      </c>
      <c r="EO439" s="54">
        <v>-63744760.64</v>
      </c>
    </row>
    <row r="440" spans="1:145" ht="12.75">
      <c r="A440" s="183" t="s">
        <v>603</v>
      </c>
      <c r="EC440" s="185">
        <f>SUM(EC436:EC439)</f>
        <v>37539830.97000002</v>
      </c>
      <c r="EO440" s="54">
        <v>83260567.65</v>
      </c>
    </row>
    <row r="441" spans="1:145" ht="12.75">
      <c r="A441" s="39" t="s">
        <v>275</v>
      </c>
      <c r="EC441" s="44">
        <f>3000000+3000000</f>
        <v>6000000</v>
      </c>
      <c r="EE441" s="32" t="s">
        <v>257</v>
      </c>
      <c r="EF441" s="32" t="s">
        <v>600</v>
      </c>
      <c r="EH441" s="39" t="s">
        <v>359</v>
      </c>
      <c r="EO441" s="54">
        <v>22593119.65000001</v>
      </c>
    </row>
    <row r="442" spans="1:145" ht="12.75">
      <c r="A442" s="39" t="s">
        <v>270</v>
      </c>
      <c r="EC442" s="44">
        <v>-5364407.95</v>
      </c>
      <c r="EE442" s="44">
        <f>EE438+EC442</f>
        <v>-25946968.849999998</v>
      </c>
      <c r="EF442" s="44">
        <f>EC429+EC433+EC437+EC441+EC425+EC421</f>
        <v>38000000</v>
      </c>
      <c r="EG442" s="44">
        <v>0</v>
      </c>
      <c r="EH442">
        <v>0</v>
      </c>
      <c r="EI442" s="44">
        <v>0</v>
      </c>
      <c r="EO442" s="54"/>
    </row>
    <row r="443" spans="1:145" ht="12.75">
      <c r="A443" t="s">
        <v>234</v>
      </c>
      <c r="EC443" s="44">
        <v>0</v>
      </c>
      <c r="EH443" s="39"/>
      <c r="EI443" s="252"/>
      <c r="EM443">
        <f>2143935.62-561049</f>
        <v>1582886.62</v>
      </c>
      <c r="EO443" s="54">
        <v>-63744760.64</v>
      </c>
    </row>
    <row r="444" spans="1:145" ht="12.75">
      <c r="A444" s="183" t="s">
        <v>606</v>
      </c>
      <c r="EC444" s="185">
        <f>SUM(EC440:EC443)</f>
        <v>38175423.02000002</v>
      </c>
      <c r="EO444" s="54">
        <v>83260567.65</v>
      </c>
    </row>
    <row r="445" spans="1:145" ht="12.75">
      <c r="A445" s="39" t="s">
        <v>275</v>
      </c>
      <c r="EC445" s="44">
        <f>3000000+3000000+2000000</f>
        <v>8000000</v>
      </c>
      <c r="EE445" s="32" t="s">
        <v>257</v>
      </c>
      <c r="EF445" s="32" t="s">
        <v>600</v>
      </c>
      <c r="EH445" s="39" t="s">
        <v>359</v>
      </c>
      <c r="EO445" s="54">
        <v>22593119.65000001</v>
      </c>
    </row>
    <row r="446" spans="1:145" ht="12.75">
      <c r="A446" s="39" t="s">
        <v>270</v>
      </c>
      <c r="EC446" s="44">
        <v>-4999459.57</v>
      </c>
      <c r="EE446" s="44">
        <f>EE442+EC446</f>
        <v>-30946428.419999998</v>
      </c>
      <c r="EF446" s="44">
        <f>EF442+EC445</f>
        <v>46000000</v>
      </c>
      <c r="EG446" s="44">
        <v>0</v>
      </c>
      <c r="EH446">
        <v>0</v>
      </c>
      <c r="EI446" s="44">
        <v>0</v>
      </c>
      <c r="EO446" s="54"/>
    </row>
    <row r="447" spans="1:145" ht="12.75">
      <c r="A447" t="s">
        <v>234</v>
      </c>
      <c r="EC447" s="44">
        <v>0</v>
      </c>
      <c r="EH447" s="39"/>
      <c r="EI447" s="252"/>
      <c r="EM447">
        <f>2143935.62-561049</f>
        <v>1582886.62</v>
      </c>
      <c r="EO447" s="54">
        <v>-63744760.64</v>
      </c>
    </row>
    <row r="448" spans="1:145" ht="12.75">
      <c r="A448" s="183" t="s">
        <v>606</v>
      </c>
      <c r="EC448" s="185">
        <f>SUM(EC444:EC447)</f>
        <v>41175963.45000002</v>
      </c>
      <c r="EO448" s="54">
        <v>83260567.65</v>
      </c>
    </row>
  </sheetData>
  <sheetProtection/>
  <printOptions/>
  <pageMargins left="0.22" right="0.17" top="0.44" bottom="1" header="0.22" footer="0.5"/>
  <pageSetup horizontalDpi="600" verticalDpi="600" orientation="landscape" paperSize="9" scale="93" r:id="rId3"/>
  <headerFooter alignWithMargins="0">
    <oddHeader>&amp;L&amp;P&amp;C&amp;A</oddHeader>
  </headerFooter>
  <colBreaks count="1" manualBreakCount="1">
    <brk id="98" max="2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3:F23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4" width="18.7109375" style="0" customWidth="1"/>
    <col min="5" max="5" width="17.28125" style="0" customWidth="1"/>
    <col min="6" max="6" width="17.8515625" style="0" customWidth="1"/>
  </cols>
  <sheetData>
    <row r="3" spans="1:4" ht="12.75">
      <c r="A3" s="336" t="s">
        <v>332</v>
      </c>
      <c r="B3" s="337"/>
      <c r="C3" s="337"/>
      <c r="D3" s="337"/>
    </row>
    <row r="4" spans="1:4" ht="15.75" thickBot="1">
      <c r="A4" s="187"/>
      <c r="B4" s="187"/>
      <c r="C4" s="187"/>
      <c r="D4" s="187"/>
    </row>
    <row r="5" spans="1:4" ht="15.75" thickBot="1">
      <c r="A5" s="194" t="s">
        <v>4</v>
      </c>
      <c r="B5" s="194" t="s">
        <v>240</v>
      </c>
      <c r="C5" s="194"/>
      <c r="D5" s="195">
        <v>330452.03</v>
      </c>
    </row>
    <row r="7" spans="1:3" ht="12.75">
      <c r="A7" s="235">
        <v>435293</v>
      </c>
      <c r="B7" s="236">
        <v>41456</v>
      </c>
      <c r="C7" s="235"/>
    </row>
    <row r="8" spans="1:3" ht="12.75">
      <c r="A8" s="235"/>
      <c r="B8" s="236"/>
      <c r="C8" s="235"/>
    </row>
    <row r="9" spans="1:3" ht="12.75">
      <c r="A9" s="235">
        <v>149307</v>
      </c>
      <c r="B9" s="236">
        <v>41821</v>
      </c>
      <c r="C9" s="235"/>
    </row>
    <row r="10" spans="1:3" ht="12.75">
      <c r="A10" s="235"/>
      <c r="B10" s="236"/>
      <c r="C10" s="235"/>
    </row>
    <row r="11" spans="1:3" ht="12.75">
      <c r="A11" s="235">
        <v>165727.52</v>
      </c>
      <c r="B11" s="236">
        <v>42186</v>
      </c>
      <c r="C11" s="235"/>
    </row>
    <row r="12" spans="1:3" ht="12.75">
      <c r="A12" s="235"/>
      <c r="B12" s="236"/>
      <c r="C12" s="235"/>
    </row>
    <row r="13" spans="1:3" ht="12.75">
      <c r="A13" s="235">
        <v>185057.1</v>
      </c>
      <c r="B13" s="236">
        <v>42552</v>
      </c>
      <c r="C13" s="235"/>
    </row>
    <row r="14" spans="1:3" ht="12.75">
      <c r="A14" s="235"/>
      <c r="B14" s="236"/>
      <c r="C14" s="235"/>
    </row>
    <row r="15" spans="1:6" ht="12.75">
      <c r="A15" s="235">
        <f>E19</f>
        <v>307784.5283333333</v>
      </c>
      <c r="B15" s="236">
        <v>42917</v>
      </c>
      <c r="C15" s="235"/>
      <c r="E15" s="44">
        <v>124277.47499999999</v>
      </c>
      <c r="F15" t="s">
        <v>486</v>
      </c>
    </row>
    <row r="16" spans="1:6" ht="12.75">
      <c r="A16" s="235"/>
      <c r="B16" s="236"/>
      <c r="C16" s="235"/>
      <c r="E16" s="44">
        <v>25579.44666666667</v>
      </c>
      <c r="F16" t="s">
        <v>487</v>
      </c>
    </row>
    <row r="17" spans="1:6" ht="12.75">
      <c r="A17" s="235">
        <v>778941</v>
      </c>
      <c r="B17" s="236">
        <v>43282</v>
      </c>
      <c r="C17" s="235"/>
      <c r="E17" s="44">
        <v>12789.723333333335</v>
      </c>
      <c r="F17" t="s">
        <v>488</v>
      </c>
    </row>
    <row r="18" spans="1:6" ht="12.75">
      <c r="A18" s="235"/>
      <c r="B18" s="236"/>
      <c r="C18" s="235"/>
      <c r="E18" s="44">
        <v>145137.88333333333</v>
      </c>
      <c r="F18" t="s">
        <v>489</v>
      </c>
    </row>
    <row r="19" spans="1:5" ht="13.5" thickBot="1">
      <c r="A19" s="235">
        <v>947786.7</v>
      </c>
      <c r="B19" s="236">
        <v>43647</v>
      </c>
      <c r="C19" s="235"/>
      <c r="E19" s="291">
        <f>SUM(E15:E18)</f>
        <v>307784.5283333333</v>
      </c>
    </row>
    <row r="20" ht="13.5" thickTop="1">
      <c r="B20" s="236"/>
    </row>
    <row r="21" spans="2:5" ht="12.75">
      <c r="B21" s="236"/>
      <c r="E21" s="44"/>
    </row>
    <row r="22" ht="12.75">
      <c r="B22" s="236"/>
    </row>
    <row r="23" ht="12.75">
      <c r="B23" s="236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K10"/>
  <sheetViews>
    <sheetView zoomScalePageLayoutView="0" workbookViewId="0" topLeftCell="A1">
      <selection activeCell="D17" sqref="D17"/>
    </sheetView>
  </sheetViews>
  <sheetFormatPr defaultColWidth="9.140625" defaultRowHeight="12.75"/>
  <sheetData>
    <row r="4" spans="2:4" ht="15.75">
      <c r="B4" s="338" t="s">
        <v>53</v>
      </c>
      <c r="C4" s="338"/>
      <c r="D4" s="338"/>
    </row>
    <row r="5" ht="13.5" thickBot="1"/>
    <row r="6" spans="2:11" ht="13.5" thickBot="1">
      <c r="B6" s="339" t="s">
        <v>54</v>
      </c>
      <c r="C6" s="340"/>
      <c r="D6" s="21" t="s">
        <v>55</v>
      </c>
      <c r="E6" s="339" t="s">
        <v>56</v>
      </c>
      <c r="F6" s="344"/>
      <c r="G6" s="344"/>
      <c r="H6" s="344"/>
      <c r="I6" s="344"/>
      <c r="J6" s="340"/>
      <c r="K6" s="21" t="s">
        <v>57</v>
      </c>
    </row>
    <row r="7" ht="13.5" thickBot="1"/>
    <row r="8" spans="2:10" ht="13.5" thickBot="1">
      <c r="B8" s="341" t="s">
        <v>58</v>
      </c>
      <c r="C8" s="342"/>
      <c r="D8" s="342"/>
      <c r="E8" s="342"/>
      <c r="F8" s="342"/>
      <c r="G8" s="342"/>
      <c r="H8" s="342"/>
      <c r="I8" s="343"/>
      <c r="J8" s="21" t="s">
        <v>57</v>
      </c>
    </row>
    <row r="9" ht="13.5" thickBot="1"/>
    <row r="10" spans="2:9" ht="13.5" thickBot="1">
      <c r="B10" s="339" t="s">
        <v>59</v>
      </c>
      <c r="C10" s="344"/>
      <c r="D10" s="344"/>
      <c r="E10" s="344"/>
      <c r="F10" s="344"/>
      <c r="G10" s="344"/>
      <c r="H10" s="344"/>
      <c r="I10" s="340"/>
    </row>
  </sheetData>
  <sheetProtection/>
  <mergeCells count="5">
    <mergeCell ref="B4:D4"/>
    <mergeCell ref="B6:C6"/>
    <mergeCell ref="B8:I8"/>
    <mergeCell ref="B10:I10"/>
    <mergeCell ref="E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BM5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.8515625" style="29" customWidth="1"/>
    <col min="2" max="4" width="9.140625" style="29" customWidth="1"/>
    <col min="5" max="5" width="13.00390625" style="29" customWidth="1"/>
    <col min="6" max="6" width="9.140625" style="29" customWidth="1"/>
    <col min="7" max="7" width="13.57421875" style="29" customWidth="1"/>
    <col min="8" max="8" width="9.421875" style="29" customWidth="1"/>
    <col min="9" max="9" width="8.7109375" style="29" customWidth="1"/>
    <col min="10" max="10" width="17.421875" style="131" customWidth="1"/>
    <col min="11" max="11" width="1.8515625" style="29" customWidth="1"/>
    <col min="12" max="12" width="17.421875" style="131" customWidth="1"/>
    <col min="13" max="13" width="1.8515625" style="29" customWidth="1"/>
    <col min="14" max="14" width="17.421875" style="131" customWidth="1"/>
    <col min="15" max="15" width="1.8515625" style="29" customWidth="1"/>
    <col min="16" max="16" width="17.421875" style="131" customWidth="1"/>
    <col min="17" max="17" width="1.8515625" style="29" customWidth="1"/>
    <col min="18" max="18" width="17.421875" style="131" customWidth="1"/>
    <col min="19" max="19" width="1.8515625" style="29" customWidth="1"/>
    <col min="20" max="20" width="17.421875" style="131" customWidth="1"/>
    <col min="21" max="21" width="1.8515625" style="29" customWidth="1"/>
    <col min="22" max="22" width="17.421875" style="131" customWidth="1"/>
    <col min="23" max="23" width="1.8515625" style="29" customWidth="1"/>
    <col min="24" max="24" width="17.421875" style="131" customWidth="1"/>
    <col min="25" max="25" width="1.8515625" style="29" customWidth="1"/>
    <col min="26" max="26" width="17.421875" style="131" customWidth="1"/>
    <col min="27" max="27" width="1.8515625" style="29" customWidth="1"/>
    <col min="28" max="28" width="17.421875" style="131" customWidth="1"/>
    <col min="29" max="29" width="1.8515625" style="29" customWidth="1"/>
    <col min="30" max="30" width="17.421875" style="131" customWidth="1"/>
    <col min="31" max="31" width="1.8515625" style="29" customWidth="1"/>
    <col min="32" max="32" width="17.421875" style="131" customWidth="1"/>
    <col min="33" max="33" width="1.8515625" style="29" customWidth="1"/>
    <col min="34" max="34" width="17.421875" style="131" customWidth="1"/>
    <col min="35" max="35" width="1.8515625" style="29" customWidth="1"/>
    <col min="36" max="36" width="17.421875" style="131" customWidth="1"/>
    <col min="37" max="37" width="1.7109375" style="29" customWidth="1"/>
    <col min="38" max="38" width="17.421875" style="131" customWidth="1"/>
    <col min="39" max="39" width="1.7109375" style="29" customWidth="1"/>
    <col min="40" max="40" width="17.421875" style="131" customWidth="1"/>
    <col min="41" max="41" width="1.7109375" style="29" customWidth="1"/>
    <col min="42" max="42" width="17.421875" style="131" customWidth="1"/>
    <col min="43" max="43" width="1.7109375" style="29" customWidth="1"/>
    <col min="44" max="44" width="17.421875" style="131" customWidth="1"/>
    <col min="45" max="45" width="1.7109375" style="29" customWidth="1"/>
    <col min="46" max="46" width="17.421875" style="131" customWidth="1"/>
    <col min="47" max="47" width="1.7109375" style="29" customWidth="1"/>
    <col min="48" max="48" width="19.57421875" style="131" customWidth="1"/>
    <col min="49" max="49" width="1.28515625" style="29" customWidth="1"/>
    <col min="50" max="55" width="19.57421875" style="131" customWidth="1"/>
    <col min="56" max="61" width="19.57421875" style="131" bestFit="1" customWidth="1"/>
    <col min="62" max="62" width="19.7109375" style="131" bestFit="1" customWidth="1"/>
    <col min="63" max="63" width="1.7109375" style="29" customWidth="1"/>
    <col min="64" max="64" width="9.140625" style="29" customWidth="1"/>
    <col min="65" max="65" width="11.421875" style="29" bestFit="1" customWidth="1"/>
    <col min="66" max="16384" width="9.140625" style="29" customWidth="1"/>
  </cols>
  <sheetData>
    <row r="2" spans="7:62" ht="11.25">
      <c r="G2" s="119" t="s">
        <v>120</v>
      </c>
      <c r="J2" s="120"/>
      <c r="L2" s="120"/>
      <c r="N2" s="120"/>
      <c r="P2" s="120"/>
      <c r="R2" s="120"/>
      <c r="T2" s="120"/>
      <c r="V2" s="120"/>
      <c r="X2" s="120"/>
      <c r="Z2" s="120"/>
      <c r="AB2" s="120"/>
      <c r="AD2" s="120"/>
      <c r="AF2" s="120"/>
      <c r="AH2" s="120"/>
      <c r="AJ2" s="120"/>
      <c r="AL2" s="120"/>
      <c r="AN2" s="120"/>
      <c r="AP2" s="120"/>
      <c r="AR2" s="120"/>
      <c r="AT2" s="120"/>
      <c r="AV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</row>
    <row r="3" spans="10:62" ht="11.25">
      <c r="J3" s="171" t="s">
        <v>237</v>
      </c>
      <c r="L3" s="171" t="s">
        <v>226</v>
      </c>
      <c r="N3" s="171" t="s">
        <v>225</v>
      </c>
      <c r="P3" s="171" t="s">
        <v>224</v>
      </c>
      <c r="R3" s="171" t="s">
        <v>223</v>
      </c>
      <c r="T3" s="171" t="s">
        <v>222</v>
      </c>
      <c r="V3" s="121" t="s">
        <v>221</v>
      </c>
      <c r="X3" s="121" t="s">
        <v>218</v>
      </c>
      <c r="Z3" s="121" t="s">
        <v>217</v>
      </c>
      <c r="AB3" s="121" t="s">
        <v>214</v>
      </c>
      <c r="AD3" s="121" t="s">
        <v>213</v>
      </c>
      <c r="AF3" s="121" t="s">
        <v>212</v>
      </c>
      <c r="AH3" s="121" t="s">
        <v>211</v>
      </c>
      <c r="AJ3" s="121" t="s">
        <v>210</v>
      </c>
      <c r="AL3" s="121" t="s">
        <v>209</v>
      </c>
      <c r="AN3" s="121" t="s">
        <v>207</v>
      </c>
      <c r="AP3" s="121" t="s">
        <v>206</v>
      </c>
      <c r="AR3" s="121" t="s">
        <v>205</v>
      </c>
      <c r="AT3" s="121" t="s">
        <v>204</v>
      </c>
      <c r="AV3" s="121" t="s">
        <v>203</v>
      </c>
      <c r="AX3" s="121" t="s">
        <v>202</v>
      </c>
      <c r="AY3" s="121" t="s">
        <v>201</v>
      </c>
      <c r="AZ3" s="121" t="s">
        <v>199</v>
      </c>
      <c r="BA3" s="121">
        <v>40117</v>
      </c>
      <c r="BB3" s="121">
        <v>40086</v>
      </c>
      <c r="BC3" s="121">
        <v>40056</v>
      </c>
      <c r="BD3" s="121">
        <v>40025</v>
      </c>
      <c r="BE3" s="122">
        <v>2009</v>
      </c>
      <c r="BF3" s="122">
        <v>2008</v>
      </c>
      <c r="BG3" s="122">
        <v>2007</v>
      </c>
      <c r="BH3" s="122">
        <v>2006</v>
      </c>
      <c r="BI3" s="122">
        <v>2005</v>
      </c>
      <c r="BJ3" s="122">
        <v>2004</v>
      </c>
    </row>
    <row r="4" spans="2:62" ht="11.25">
      <c r="B4" s="29" t="s">
        <v>121</v>
      </c>
      <c r="E4" s="123">
        <v>3900120302500</v>
      </c>
      <c r="J4" s="120">
        <v>2126642.88</v>
      </c>
      <c r="L4" s="120">
        <v>2126642.88</v>
      </c>
      <c r="N4" s="120">
        <v>2274536.71</v>
      </c>
      <c r="P4" s="120">
        <v>2617716</v>
      </c>
      <c r="R4" s="120">
        <v>2617716</v>
      </c>
      <c r="T4" s="120">
        <v>2757296.71</v>
      </c>
      <c r="V4" s="120">
        <v>2896877.71</v>
      </c>
      <c r="X4" s="120">
        <v>3036459</v>
      </c>
      <c r="Z4" s="120">
        <v>3176040</v>
      </c>
      <c r="AB4" s="120">
        <v>3315620</v>
      </c>
      <c r="AD4" s="120">
        <v>3455202</v>
      </c>
      <c r="AF4" s="120">
        <v>3594783</v>
      </c>
      <c r="AH4" s="120">
        <v>3734363.71</v>
      </c>
      <c r="AJ4" s="120">
        <v>3733554.71</v>
      </c>
      <c r="AL4" s="120">
        <v>7782223</v>
      </c>
      <c r="AN4" s="120">
        <v>7921802.82</v>
      </c>
      <c r="AP4" s="120">
        <v>7921802.82</v>
      </c>
      <c r="AR4" s="120">
        <v>7921802.82</v>
      </c>
      <c r="AT4" s="120">
        <v>7921802.82</v>
      </c>
      <c r="AV4" s="120">
        <v>7921802.82</v>
      </c>
      <c r="AX4" s="120">
        <v>7921802.82</v>
      </c>
      <c r="AY4" s="120">
        <v>7921802.82</v>
      </c>
      <c r="AZ4" s="120">
        <v>7921802.82</v>
      </c>
      <c r="BA4" s="120">
        <v>7921802.82</v>
      </c>
      <c r="BB4" s="120" t="e">
        <f>BC4</f>
        <v>#N/A</v>
      </c>
      <c r="BC4" s="120" t="e">
        <f>#N/A</f>
        <v>#N/A</v>
      </c>
      <c r="BD4" s="120" t="e">
        <f>#N/A</f>
        <v>#N/A</v>
      </c>
      <c r="BE4" s="120" t="e">
        <f>#N/A</f>
        <v>#N/A</v>
      </c>
      <c r="BF4" s="120" t="e">
        <f>#N/A</f>
        <v>#N/A</v>
      </c>
      <c r="BG4" s="120" t="e">
        <f>#N/A</f>
        <v>#N/A</v>
      </c>
      <c r="BH4" s="120" t="e">
        <f>#N/A</f>
        <v>#N/A</v>
      </c>
      <c r="BI4" s="120">
        <v>21532853.53</v>
      </c>
      <c r="BJ4" s="120">
        <v>28850223</v>
      </c>
    </row>
    <row r="5" spans="2:62" ht="11.25">
      <c r="B5" s="29" t="s">
        <v>122</v>
      </c>
      <c r="J5" s="120"/>
      <c r="L5" s="120"/>
      <c r="N5" s="120"/>
      <c r="P5" s="120"/>
      <c r="R5" s="120"/>
      <c r="T5" s="120"/>
      <c r="V5" s="120"/>
      <c r="X5" s="120"/>
      <c r="Z5" s="120"/>
      <c r="AB5" s="120"/>
      <c r="AD5" s="120"/>
      <c r="AF5" s="120"/>
      <c r="AH5" s="120"/>
      <c r="AJ5" s="120"/>
      <c r="AL5" s="120"/>
      <c r="AN5" s="120"/>
      <c r="AP5" s="120"/>
      <c r="AR5" s="120"/>
      <c r="AT5" s="120"/>
      <c r="AV5" s="120"/>
      <c r="AX5" s="120"/>
      <c r="AY5" s="120"/>
      <c r="AZ5" s="120"/>
      <c r="BA5" s="120"/>
      <c r="BB5" s="120"/>
      <c r="BC5" s="120"/>
      <c r="BD5" s="120">
        <v>0</v>
      </c>
      <c r="BE5" s="120">
        <v>0</v>
      </c>
      <c r="BF5" s="120">
        <v>0</v>
      </c>
      <c r="BG5" s="124">
        <v>200533.23</v>
      </c>
      <c r="BH5" s="120">
        <v>0</v>
      </c>
      <c r="BI5" s="120">
        <v>0</v>
      </c>
      <c r="BJ5" s="120">
        <v>68099</v>
      </c>
    </row>
    <row r="6" spans="2:62" s="125" customFormat="1" ht="11.25">
      <c r="B6" s="125" t="s">
        <v>198</v>
      </c>
      <c r="J6" s="126"/>
      <c r="L6" s="126"/>
      <c r="N6" s="126"/>
      <c r="P6" s="126"/>
      <c r="R6" s="126"/>
      <c r="T6" s="126"/>
      <c r="V6" s="126"/>
      <c r="X6" s="126"/>
      <c r="Z6" s="126"/>
      <c r="AB6" s="126"/>
      <c r="AD6" s="126"/>
      <c r="AF6" s="126"/>
      <c r="AH6" s="126"/>
      <c r="AJ6" s="126"/>
      <c r="AL6" s="126"/>
      <c r="AN6" s="126"/>
      <c r="AP6" s="126"/>
      <c r="AR6" s="126"/>
      <c r="AT6" s="126"/>
      <c r="AV6" s="126"/>
      <c r="AX6" s="126"/>
      <c r="AY6" s="126"/>
      <c r="AZ6" s="126"/>
      <c r="BA6" s="126"/>
      <c r="BB6" s="126"/>
      <c r="BC6" s="126"/>
      <c r="BD6" s="126"/>
      <c r="BE6" s="126"/>
      <c r="BF6" s="126"/>
      <c r="BG6" s="127">
        <f>37895.49-BG5</f>
        <v>-162637.74000000002</v>
      </c>
      <c r="BH6" s="126"/>
      <c r="BI6" s="126"/>
      <c r="BJ6" s="126"/>
    </row>
    <row r="7" spans="2:65" ht="11.25">
      <c r="B7" s="29" t="s">
        <v>124</v>
      </c>
      <c r="J7" s="120"/>
      <c r="L7" s="120"/>
      <c r="N7" s="120"/>
      <c r="P7" s="120"/>
      <c r="R7" s="120"/>
      <c r="T7" s="120"/>
      <c r="V7" s="120"/>
      <c r="X7" s="120"/>
      <c r="Z7" s="120"/>
      <c r="AB7" s="120"/>
      <c r="AD7" s="120"/>
      <c r="AF7" s="120"/>
      <c r="AH7" s="120"/>
      <c r="AJ7" s="120"/>
      <c r="AL7" s="120"/>
      <c r="AN7" s="120"/>
      <c r="AP7" s="120"/>
      <c r="AR7" s="120"/>
      <c r="AT7" s="120"/>
      <c r="AV7" s="120"/>
      <c r="AX7" s="120"/>
      <c r="AY7" s="120"/>
      <c r="AZ7" s="120"/>
      <c r="BA7" s="120"/>
      <c r="BB7" s="120"/>
      <c r="BC7" s="120"/>
      <c r="BD7" s="120">
        <f>SUM(BD8:BD9)</f>
        <v>0</v>
      </c>
      <c r="BE7" s="120" t="e">
        <f>#N/A</f>
        <v>#N/A</v>
      </c>
      <c r="BF7" s="120" t="e">
        <f>#N/A</f>
        <v>#N/A</v>
      </c>
      <c r="BG7" s="120" t="e">
        <f>#N/A</f>
        <v>#N/A</v>
      </c>
      <c r="BH7" s="120" t="e">
        <f>#N/A</f>
        <v>#N/A</v>
      </c>
      <c r="BI7" s="120" t="e">
        <f>#N/A</f>
        <v>#N/A</v>
      </c>
      <c r="BJ7" s="120" t="e">
        <f>#N/A</f>
        <v>#N/A</v>
      </c>
      <c r="BM7" s="128">
        <v>492262</v>
      </c>
    </row>
    <row r="8" spans="2:65" ht="11.25">
      <c r="B8" s="29" t="s">
        <v>125</v>
      </c>
      <c r="F8" s="29" t="s">
        <v>126</v>
      </c>
      <c r="J8" s="129"/>
      <c r="L8" s="129"/>
      <c r="N8" s="129"/>
      <c r="P8" s="129"/>
      <c r="R8" s="129"/>
      <c r="T8" s="129"/>
      <c r="V8" s="129"/>
      <c r="X8" s="129"/>
      <c r="Z8" s="129"/>
      <c r="AB8" s="129"/>
      <c r="AD8" s="129"/>
      <c r="AF8" s="129"/>
      <c r="AH8" s="129"/>
      <c r="AJ8" s="129"/>
      <c r="AL8" s="129"/>
      <c r="AN8" s="129"/>
      <c r="AP8" s="129"/>
      <c r="AR8" s="129"/>
      <c r="AT8" s="129"/>
      <c r="AV8" s="129"/>
      <c r="AX8" s="129"/>
      <c r="AY8" s="129"/>
      <c r="AZ8" s="129"/>
      <c r="BA8" s="129"/>
      <c r="BB8" s="129"/>
      <c r="BC8" s="129"/>
      <c r="BD8" s="129">
        <v>0</v>
      </c>
      <c r="BE8" s="129">
        <v>0</v>
      </c>
      <c r="BF8" s="129">
        <v>0</v>
      </c>
      <c r="BG8" s="129">
        <v>0</v>
      </c>
      <c r="BH8" s="129">
        <v>0</v>
      </c>
      <c r="BI8" s="129">
        <v>0</v>
      </c>
      <c r="BJ8" s="129">
        <v>553262</v>
      </c>
      <c r="BK8" s="130"/>
      <c r="BM8" s="131"/>
    </row>
    <row r="9" spans="2:63" ht="11.25">
      <c r="B9" s="29" t="s">
        <v>127</v>
      </c>
      <c r="J9" s="132"/>
      <c r="L9" s="132"/>
      <c r="N9" s="132"/>
      <c r="P9" s="132"/>
      <c r="R9" s="132"/>
      <c r="T9" s="132"/>
      <c r="V9" s="132"/>
      <c r="X9" s="132"/>
      <c r="Z9" s="132"/>
      <c r="AB9" s="132"/>
      <c r="AD9" s="132"/>
      <c r="AF9" s="132"/>
      <c r="AH9" s="132"/>
      <c r="AJ9" s="132"/>
      <c r="AL9" s="132"/>
      <c r="AN9" s="132"/>
      <c r="AP9" s="132"/>
      <c r="AR9" s="132"/>
      <c r="AT9" s="132"/>
      <c r="AV9" s="132"/>
      <c r="AX9" s="132"/>
      <c r="AY9" s="132"/>
      <c r="AZ9" s="132"/>
      <c r="BA9" s="132"/>
      <c r="BB9" s="132"/>
      <c r="BC9" s="132"/>
      <c r="BD9" s="132">
        <f>SUM(BD10:BD13)</f>
        <v>0</v>
      </c>
      <c r="BE9" s="132" t="e">
        <f>#N/A</f>
        <v>#N/A</v>
      </c>
      <c r="BF9" s="132" t="e">
        <f>#N/A</f>
        <v>#N/A</v>
      </c>
      <c r="BG9" s="132" t="e">
        <f>#N/A</f>
        <v>#N/A</v>
      </c>
      <c r="BH9" s="132" t="e">
        <f>#N/A</f>
        <v>#N/A</v>
      </c>
      <c r="BI9" s="132" t="e">
        <f>#N/A</f>
        <v>#N/A</v>
      </c>
      <c r="BJ9" s="132" t="e">
        <f>#N/A</f>
        <v>#N/A</v>
      </c>
      <c r="BK9" s="34"/>
    </row>
    <row r="10" spans="2:63" ht="11.25">
      <c r="B10" s="29" t="s">
        <v>128</v>
      </c>
      <c r="F10" s="29" t="s">
        <v>129</v>
      </c>
      <c r="H10" s="29" t="s">
        <v>130</v>
      </c>
      <c r="J10" s="133"/>
      <c r="L10" s="133"/>
      <c r="N10" s="133"/>
      <c r="P10" s="133"/>
      <c r="R10" s="133"/>
      <c r="T10" s="133"/>
      <c r="V10" s="133"/>
      <c r="X10" s="133"/>
      <c r="Z10" s="133"/>
      <c r="AB10" s="133"/>
      <c r="AD10" s="133"/>
      <c r="AF10" s="133"/>
      <c r="AH10" s="133"/>
      <c r="AJ10" s="133"/>
      <c r="AL10" s="133"/>
      <c r="AN10" s="133"/>
      <c r="AP10" s="133"/>
      <c r="AR10" s="133"/>
      <c r="AT10" s="133"/>
      <c r="AV10" s="133"/>
      <c r="AX10" s="133"/>
      <c r="AY10" s="133"/>
      <c r="AZ10" s="133"/>
      <c r="BA10" s="133"/>
      <c r="BB10" s="133"/>
      <c r="BC10" s="133"/>
      <c r="BD10" s="133">
        <v>0</v>
      </c>
      <c r="BE10" s="133">
        <v>0</v>
      </c>
      <c r="BF10" s="133">
        <v>0</v>
      </c>
      <c r="BG10" s="133">
        <v>0</v>
      </c>
      <c r="BH10" s="133">
        <v>0</v>
      </c>
      <c r="BI10" s="133">
        <v>0</v>
      </c>
      <c r="BJ10" s="133">
        <v>135785</v>
      </c>
      <c r="BK10" s="34"/>
    </row>
    <row r="11" spans="2:63" ht="11.25">
      <c r="B11" s="29" t="s">
        <v>131</v>
      </c>
      <c r="F11" s="29" t="s">
        <v>129</v>
      </c>
      <c r="H11" s="29" t="s">
        <v>132</v>
      </c>
      <c r="J11" s="134"/>
      <c r="L11" s="134"/>
      <c r="N11" s="134"/>
      <c r="P11" s="134"/>
      <c r="R11" s="134"/>
      <c r="T11" s="134"/>
      <c r="V11" s="134"/>
      <c r="X11" s="134"/>
      <c r="Z11" s="134"/>
      <c r="AB11" s="134"/>
      <c r="AD11" s="134"/>
      <c r="AF11" s="134"/>
      <c r="AH11" s="134"/>
      <c r="AJ11" s="134"/>
      <c r="AL11" s="134"/>
      <c r="AN11" s="134"/>
      <c r="AP11" s="134"/>
      <c r="AR11" s="134"/>
      <c r="AT11" s="134"/>
      <c r="AV11" s="134"/>
      <c r="AX11" s="134"/>
      <c r="AY11" s="134"/>
      <c r="AZ11" s="134"/>
      <c r="BA11" s="134"/>
      <c r="BB11" s="134"/>
      <c r="BC11" s="134"/>
      <c r="BD11" s="134">
        <v>0</v>
      </c>
      <c r="BE11" s="134">
        <v>0</v>
      </c>
      <c r="BF11" s="134">
        <v>0</v>
      </c>
      <c r="BG11" s="134">
        <v>0</v>
      </c>
      <c r="BH11" s="134">
        <v>0</v>
      </c>
      <c r="BI11" s="134">
        <v>0</v>
      </c>
      <c r="BJ11" s="134">
        <v>77914</v>
      </c>
      <c r="BK11" s="34"/>
    </row>
    <row r="12" spans="2:63" ht="11.25">
      <c r="B12" s="29" t="s">
        <v>133</v>
      </c>
      <c r="F12" s="29" t="s">
        <v>129</v>
      </c>
      <c r="H12" s="29" t="s">
        <v>134</v>
      </c>
      <c r="J12" s="134"/>
      <c r="L12" s="134"/>
      <c r="N12" s="134"/>
      <c r="P12" s="134"/>
      <c r="R12" s="134"/>
      <c r="T12" s="134"/>
      <c r="V12" s="134"/>
      <c r="X12" s="134"/>
      <c r="Z12" s="134"/>
      <c r="AB12" s="134"/>
      <c r="AD12" s="134"/>
      <c r="AF12" s="134"/>
      <c r="AH12" s="134"/>
      <c r="AJ12" s="134"/>
      <c r="AL12" s="134"/>
      <c r="AN12" s="134"/>
      <c r="AP12" s="134"/>
      <c r="AR12" s="134"/>
      <c r="AT12" s="134"/>
      <c r="AV12" s="134"/>
      <c r="AX12" s="134"/>
      <c r="AY12" s="134"/>
      <c r="AZ12" s="134"/>
      <c r="BA12" s="134"/>
      <c r="BB12" s="134"/>
      <c r="BC12" s="134"/>
      <c r="BD12" s="134">
        <v>0</v>
      </c>
      <c r="BE12" s="134">
        <v>0</v>
      </c>
      <c r="BF12" s="134">
        <v>0</v>
      </c>
      <c r="BG12" s="134">
        <v>0</v>
      </c>
      <c r="BH12" s="134">
        <v>0</v>
      </c>
      <c r="BI12" s="134">
        <v>0</v>
      </c>
      <c r="BJ12" s="134">
        <v>12060</v>
      </c>
      <c r="BK12" s="34"/>
    </row>
    <row r="13" spans="2:63" ht="11.25">
      <c r="B13" s="29" t="s">
        <v>135</v>
      </c>
      <c r="F13" s="29" t="s">
        <v>136</v>
      </c>
      <c r="H13" s="29" t="s">
        <v>137</v>
      </c>
      <c r="J13" s="135"/>
      <c r="L13" s="135"/>
      <c r="N13" s="135"/>
      <c r="P13" s="135"/>
      <c r="R13" s="135"/>
      <c r="T13" s="135"/>
      <c r="V13" s="135"/>
      <c r="X13" s="135"/>
      <c r="Z13" s="135"/>
      <c r="AB13" s="135"/>
      <c r="AD13" s="135"/>
      <c r="AF13" s="135"/>
      <c r="AH13" s="135"/>
      <c r="AJ13" s="135"/>
      <c r="AL13" s="135"/>
      <c r="AN13" s="135"/>
      <c r="AP13" s="135"/>
      <c r="AR13" s="135"/>
      <c r="AT13" s="135"/>
      <c r="AV13" s="135"/>
      <c r="AX13" s="135"/>
      <c r="AY13" s="135"/>
      <c r="AZ13" s="135"/>
      <c r="BA13" s="135"/>
      <c r="BB13" s="135"/>
      <c r="BC13" s="135"/>
      <c r="BD13" s="135">
        <v>0</v>
      </c>
      <c r="BE13" s="135">
        <v>0</v>
      </c>
      <c r="BF13" s="135">
        <v>0</v>
      </c>
      <c r="BG13" s="135">
        <v>0</v>
      </c>
      <c r="BH13" s="135">
        <v>0</v>
      </c>
      <c r="BI13" s="135">
        <v>0</v>
      </c>
      <c r="BJ13" s="135">
        <v>-286759</v>
      </c>
      <c r="BK13" s="34"/>
    </row>
    <row r="14" spans="10:63" ht="11.25">
      <c r="J14" s="136"/>
      <c r="L14" s="136"/>
      <c r="N14" s="136"/>
      <c r="P14" s="136"/>
      <c r="R14" s="136"/>
      <c r="T14" s="136"/>
      <c r="V14" s="136"/>
      <c r="X14" s="136"/>
      <c r="Z14" s="136"/>
      <c r="AB14" s="136"/>
      <c r="AD14" s="136"/>
      <c r="AF14" s="136"/>
      <c r="AH14" s="136"/>
      <c r="AJ14" s="136"/>
      <c r="AL14" s="136"/>
      <c r="AN14" s="136"/>
      <c r="AP14" s="136"/>
      <c r="AR14" s="136"/>
      <c r="AT14" s="136"/>
      <c r="AV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7"/>
    </row>
    <row r="15" spans="2:60" ht="11.25">
      <c r="B15" s="29" t="s">
        <v>138</v>
      </c>
      <c r="H15" s="29" t="s">
        <v>139</v>
      </c>
      <c r="BD15" s="131">
        <v>0</v>
      </c>
      <c r="BE15" s="131">
        <v>0</v>
      </c>
      <c r="BF15" s="131">
        <v>0</v>
      </c>
      <c r="BG15" s="131">
        <v>0</v>
      </c>
      <c r="BH15" s="131">
        <v>1543328.58</v>
      </c>
    </row>
    <row r="16" spans="2:60" ht="11.25">
      <c r="B16" s="125" t="s">
        <v>140</v>
      </c>
      <c r="C16" s="119"/>
      <c r="D16" s="119"/>
      <c r="E16" s="119"/>
      <c r="F16" s="125" t="s">
        <v>141</v>
      </c>
      <c r="G16" s="119"/>
      <c r="H16" s="119"/>
      <c r="I16" s="119"/>
      <c r="J16" s="138"/>
      <c r="K16" s="119"/>
      <c r="L16" s="138"/>
      <c r="M16" s="119"/>
      <c r="N16" s="138"/>
      <c r="O16" s="119"/>
      <c r="P16" s="138"/>
      <c r="Q16" s="119"/>
      <c r="R16" s="138"/>
      <c r="S16" s="119"/>
      <c r="T16" s="138"/>
      <c r="U16" s="119"/>
      <c r="V16" s="138"/>
      <c r="W16" s="119"/>
      <c r="X16" s="138"/>
      <c r="Y16" s="119"/>
      <c r="Z16" s="138"/>
      <c r="AA16" s="119"/>
      <c r="AB16" s="138"/>
      <c r="AC16" s="119"/>
      <c r="AD16" s="138"/>
      <c r="AE16" s="119"/>
      <c r="AF16" s="138"/>
      <c r="AG16" s="119"/>
      <c r="AH16" s="138"/>
      <c r="AI16" s="119"/>
      <c r="AJ16" s="138"/>
      <c r="AK16" s="119"/>
      <c r="AL16" s="138"/>
      <c r="AM16" s="119"/>
      <c r="AN16" s="138"/>
      <c r="AO16" s="119"/>
      <c r="AP16" s="138"/>
      <c r="AQ16" s="119"/>
      <c r="AR16" s="138"/>
      <c r="AS16" s="119"/>
      <c r="AT16" s="138"/>
      <c r="AU16" s="119"/>
      <c r="AV16" s="138"/>
      <c r="AW16" s="119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9">
        <v>-1188872.4</v>
      </c>
    </row>
    <row r="17" spans="2:60" ht="11.25">
      <c r="B17" s="125" t="s">
        <v>142</v>
      </c>
      <c r="C17" s="119"/>
      <c r="D17" s="119"/>
      <c r="E17" s="119"/>
      <c r="F17" s="125" t="s">
        <v>141</v>
      </c>
      <c r="G17" s="119"/>
      <c r="H17" s="119"/>
      <c r="I17" s="119"/>
      <c r="J17" s="138"/>
      <c r="K17" s="119"/>
      <c r="L17" s="138"/>
      <c r="M17" s="119"/>
      <c r="N17" s="138"/>
      <c r="O17" s="119"/>
      <c r="P17" s="138"/>
      <c r="Q17" s="119"/>
      <c r="R17" s="138"/>
      <c r="S17" s="119"/>
      <c r="T17" s="138"/>
      <c r="U17" s="119"/>
      <c r="V17" s="138"/>
      <c r="W17" s="119"/>
      <c r="X17" s="138"/>
      <c r="Y17" s="119"/>
      <c r="Z17" s="138"/>
      <c r="AA17" s="119"/>
      <c r="AB17" s="138"/>
      <c r="AC17" s="119"/>
      <c r="AD17" s="138"/>
      <c r="AE17" s="119"/>
      <c r="AF17" s="138"/>
      <c r="AG17" s="119"/>
      <c r="AH17" s="138"/>
      <c r="AI17" s="119"/>
      <c r="AJ17" s="138"/>
      <c r="AK17" s="119"/>
      <c r="AL17" s="138"/>
      <c r="AM17" s="119"/>
      <c r="AN17" s="138"/>
      <c r="AO17" s="119"/>
      <c r="AP17" s="138"/>
      <c r="AQ17" s="119"/>
      <c r="AR17" s="138"/>
      <c r="AS17" s="119"/>
      <c r="AT17" s="138"/>
      <c r="AU17" s="119"/>
      <c r="AV17" s="138"/>
      <c r="AW17" s="119"/>
      <c r="AX17" s="138"/>
      <c r="AY17" s="138"/>
      <c r="AZ17" s="138"/>
      <c r="BA17" s="138"/>
      <c r="BB17" s="138"/>
      <c r="BC17" s="138"/>
      <c r="BD17" s="138"/>
      <c r="BE17" s="138"/>
      <c r="BF17" s="138"/>
      <c r="BG17" s="140">
        <v>-4979691.81</v>
      </c>
      <c r="BH17" s="139"/>
    </row>
    <row r="18" spans="2:60" ht="11.25">
      <c r="B18" s="125" t="s">
        <v>143</v>
      </c>
      <c r="C18" s="119"/>
      <c r="D18" s="119"/>
      <c r="E18" s="119"/>
      <c r="F18" s="125" t="s">
        <v>144</v>
      </c>
      <c r="G18" s="119"/>
      <c r="H18" s="119"/>
      <c r="I18" s="119"/>
      <c r="J18" s="140"/>
      <c r="K18" s="119"/>
      <c r="L18" s="140"/>
      <c r="M18" s="119"/>
      <c r="N18" s="140"/>
      <c r="O18" s="119"/>
      <c r="P18" s="140"/>
      <c r="Q18" s="119"/>
      <c r="R18" s="140"/>
      <c r="S18" s="119"/>
      <c r="T18" s="140"/>
      <c r="U18" s="119"/>
      <c r="V18" s="140"/>
      <c r="W18" s="119"/>
      <c r="X18" s="140"/>
      <c r="Y18" s="119"/>
      <c r="Z18" s="140"/>
      <c r="AA18" s="119"/>
      <c r="AB18" s="140"/>
      <c r="AC18" s="119"/>
      <c r="AD18" s="140"/>
      <c r="AE18" s="119"/>
      <c r="AF18" s="140"/>
      <c r="AG18" s="119"/>
      <c r="AH18" s="140"/>
      <c r="AI18" s="119"/>
      <c r="AJ18" s="140"/>
      <c r="AK18" s="119"/>
      <c r="AL18" s="140"/>
      <c r="AM18" s="119"/>
      <c r="AN18" s="140"/>
      <c r="AO18" s="119"/>
      <c r="AP18" s="140"/>
      <c r="AQ18" s="119"/>
      <c r="AR18" s="140"/>
      <c r="AS18" s="119"/>
      <c r="AT18" s="140"/>
      <c r="AU18" s="119"/>
      <c r="AV18" s="140"/>
      <c r="AW18" s="119"/>
      <c r="AX18" s="140"/>
      <c r="AY18" s="140"/>
      <c r="AZ18" s="140"/>
      <c r="BA18" s="140"/>
      <c r="BB18" s="140"/>
      <c r="BC18" s="140"/>
      <c r="BD18" s="140"/>
      <c r="BE18" s="140"/>
      <c r="BF18" s="140">
        <v>1526315.32</v>
      </c>
      <c r="BG18" s="140"/>
      <c r="BH18" s="139"/>
    </row>
    <row r="19" spans="2:60" ht="11.25">
      <c r="B19" s="29" t="s">
        <v>145</v>
      </c>
      <c r="G19" s="29" t="s">
        <v>189</v>
      </c>
      <c r="BD19" s="131">
        <v>0</v>
      </c>
      <c r="BE19" s="131">
        <f>-4375113.22+4006631.69</f>
        <v>-368481.5299999998</v>
      </c>
      <c r="BF19" s="140"/>
      <c r="BG19" s="140"/>
      <c r="BH19" s="139"/>
    </row>
    <row r="20" spans="2:62" ht="11.25">
      <c r="B20" s="29" t="s">
        <v>146</v>
      </c>
      <c r="J20" s="120"/>
      <c r="L20" s="120"/>
      <c r="N20" s="120"/>
      <c r="P20" s="120"/>
      <c r="R20" s="120"/>
      <c r="T20" s="120"/>
      <c r="V20" s="120"/>
      <c r="X20" s="120"/>
      <c r="Z20" s="120"/>
      <c r="AB20" s="120"/>
      <c r="AD20" s="120"/>
      <c r="AF20" s="120"/>
      <c r="AH20" s="120"/>
      <c r="AJ20" s="120"/>
      <c r="AL20" s="120"/>
      <c r="AN20" s="120"/>
      <c r="AP20" s="120"/>
      <c r="AR20" s="120"/>
      <c r="AT20" s="120"/>
      <c r="AV20" s="120"/>
      <c r="AX20" s="120"/>
      <c r="AY20" s="120"/>
      <c r="AZ20" s="120"/>
      <c r="BA20" s="120"/>
      <c r="BB20" s="120"/>
      <c r="BC20" s="120"/>
      <c r="BD20" s="120">
        <v>0</v>
      </c>
      <c r="BE20" s="120">
        <v>0</v>
      </c>
      <c r="BF20" s="120">
        <v>0</v>
      </c>
      <c r="BG20" s="120">
        <v>0</v>
      </c>
      <c r="BH20" s="120">
        <v>0</v>
      </c>
      <c r="BI20" s="141">
        <v>-3098042.27</v>
      </c>
      <c r="BJ20" s="120">
        <v>-6639613</v>
      </c>
    </row>
    <row r="21" spans="2:62" ht="11.25">
      <c r="B21" s="29" t="s">
        <v>147</v>
      </c>
      <c r="E21" s="29" t="s">
        <v>148</v>
      </c>
      <c r="H21" s="29" t="s">
        <v>139</v>
      </c>
      <c r="J21" s="120"/>
      <c r="L21" s="120"/>
      <c r="N21" s="120"/>
      <c r="P21" s="120"/>
      <c r="R21" s="120"/>
      <c r="T21" s="120"/>
      <c r="V21" s="120"/>
      <c r="X21" s="120"/>
      <c r="Z21" s="120"/>
      <c r="AB21" s="120"/>
      <c r="AD21" s="120"/>
      <c r="AF21" s="120"/>
      <c r="AH21" s="120"/>
      <c r="AJ21" s="120"/>
      <c r="AL21" s="120"/>
      <c r="AN21" s="120"/>
      <c r="AP21" s="120"/>
      <c r="AR21" s="120"/>
      <c r="AT21" s="120"/>
      <c r="AV21" s="120"/>
      <c r="AX21" s="120"/>
      <c r="AY21" s="120"/>
      <c r="AZ21" s="120"/>
      <c r="BA21" s="120"/>
      <c r="BB21" s="120"/>
      <c r="BC21" s="120"/>
      <c r="BD21" s="120">
        <v>0</v>
      </c>
      <c r="BE21" s="120">
        <v>0</v>
      </c>
      <c r="BF21" s="120">
        <v>0</v>
      </c>
      <c r="BG21" s="120">
        <v>0</v>
      </c>
      <c r="BH21" s="120">
        <f>6747047-BH22</f>
        <v>4298510.68</v>
      </c>
      <c r="BI21" s="142">
        <v>-6747047</v>
      </c>
      <c r="BJ21" s="120"/>
    </row>
    <row r="22" spans="2:62" ht="11.25">
      <c r="B22" s="29" t="s">
        <v>147</v>
      </c>
      <c r="E22" s="29" t="s">
        <v>149</v>
      </c>
      <c r="J22" s="120"/>
      <c r="L22" s="120"/>
      <c r="N22" s="120"/>
      <c r="P22" s="120"/>
      <c r="R22" s="120"/>
      <c r="T22" s="120"/>
      <c r="V22" s="120"/>
      <c r="X22" s="120"/>
      <c r="Z22" s="120"/>
      <c r="AB22" s="120"/>
      <c r="AD22" s="120"/>
      <c r="AF22" s="120"/>
      <c r="AH22" s="120"/>
      <c r="AJ22" s="120"/>
      <c r="AL22" s="120"/>
      <c r="AN22" s="120"/>
      <c r="AP22" s="120"/>
      <c r="AR22" s="120"/>
      <c r="AT22" s="120"/>
      <c r="AV22" s="120"/>
      <c r="AX22" s="120"/>
      <c r="AY22" s="120"/>
      <c r="AZ22" s="120"/>
      <c r="BA22" s="120"/>
      <c r="BB22" s="120"/>
      <c r="BC22" s="120"/>
      <c r="BD22" s="120">
        <v>0</v>
      </c>
      <c r="BE22" s="120">
        <v>0</v>
      </c>
      <c r="BF22" s="120">
        <v>0</v>
      </c>
      <c r="BG22" s="120">
        <v>993682.56</v>
      </c>
      <c r="BH22" s="120">
        <v>2448536.32</v>
      </c>
      <c r="BI22" s="141">
        <v>-6533856.07</v>
      </c>
      <c r="BJ22" s="120"/>
    </row>
    <row r="23" spans="2:62" ht="11.25">
      <c r="B23" s="29" t="s">
        <v>18</v>
      </c>
      <c r="D23" s="29" t="s">
        <v>150</v>
      </c>
      <c r="J23" s="120"/>
      <c r="L23" s="120"/>
      <c r="N23" s="120"/>
      <c r="P23" s="120"/>
      <c r="R23" s="120"/>
      <c r="T23" s="120"/>
      <c r="V23" s="120"/>
      <c r="X23" s="120"/>
      <c r="Z23" s="120"/>
      <c r="AB23" s="120"/>
      <c r="AD23" s="120"/>
      <c r="AF23" s="120"/>
      <c r="AH23" s="120"/>
      <c r="AJ23" s="120"/>
      <c r="AL23" s="120"/>
      <c r="AN23" s="120"/>
      <c r="AP23" s="120"/>
      <c r="AR23" s="120"/>
      <c r="AT23" s="120"/>
      <c r="AV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42">
        <v>-1543328.58</v>
      </c>
      <c r="BJ23" s="120">
        <v>-1238117</v>
      </c>
    </row>
    <row r="24" spans="10:62" ht="12" thickBot="1">
      <c r="J24" s="143">
        <f>J4</f>
        <v>2126642.88</v>
      </c>
      <c r="L24" s="143">
        <f>L4</f>
        <v>2126642.88</v>
      </c>
      <c r="N24" s="143">
        <f>N4</f>
        <v>2274536.71</v>
      </c>
      <c r="P24" s="143">
        <f>P4</f>
        <v>2617716</v>
      </c>
      <c r="R24" s="143">
        <f>R4</f>
        <v>2617716</v>
      </c>
      <c r="T24" s="143">
        <f>T4</f>
        <v>2757296.71</v>
      </c>
      <c r="V24" s="143">
        <f>V4</f>
        <v>2896877.71</v>
      </c>
      <c r="X24" s="143">
        <f>X4</f>
        <v>3036459</v>
      </c>
      <c r="Z24" s="143">
        <f>Z4</f>
        <v>3176040</v>
      </c>
      <c r="AB24" s="143">
        <f>AB4</f>
        <v>3315620</v>
      </c>
      <c r="AD24" s="143">
        <f>AD4</f>
        <v>3455202</v>
      </c>
      <c r="AF24" s="143">
        <f>AF4</f>
        <v>3594783</v>
      </c>
      <c r="AH24" s="143">
        <f>AH4</f>
        <v>3734363.71</v>
      </c>
      <c r="AJ24" s="143">
        <f>AJ4</f>
        <v>3733554.71</v>
      </c>
      <c r="AL24" s="143">
        <f>AL4</f>
        <v>7782223</v>
      </c>
      <c r="AN24" s="143">
        <f>AN4</f>
        <v>7921802.82</v>
      </c>
      <c r="AP24" s="143">
        <f>AP4</f>
        <v>7921802.82</v>
      </c>
      <c r="AR24" s="143">
        <f>AR4</f>
        <v>7921802.82</v>
      </c>
      <c r="AT24" s="143">
        <f>AT4</f>
        <v>7921802.82</v>
      </c>
      <c r="AV24" s="143">
        <f>AV4</f>
        <v>7921802.82</v>
      </c>
      <c r="AX24" s="143" t="e">
        <f>#N/A</f>
        <v>#N/A</v>
      </c>
      <c r="AY24" s="143" t="e">
        <f>#N/A</f>
        <v>#N/A</v>
      </c>
      <c r="AZ24" s="143" t="e">
        <f>#N/A</f>
        <v>#N/A</v>
      </c>
      <c r="BA24" s="143" t="e">
        <f>#N/A</f>
        <v>#N/A</v>
      </c>
      <c r="BB24" s="143" t="e">
        <f>#N/A</f>
        <v>#N/A</v>
      </c>
      <c r="BC24" s="143" t="e">
        <f>#N/A</f>
        <v>#N/A</v>
      </c>
      <c r="BD24" s="143" t="e">
        <f>#N/A</f>
        <v>#N/A</v>
      </c>
      <c r="BE24" s="143" t="e">
        <f>#N/A</f>
        <v>#N/A</v>
      </c>
      <c r="BF24" s="143" t="e">
        <f>#N/A</f>
        <v>#N/A</v>
      </c>
      <c r="BG24" s="143" t="e">
        <f>#N/A</f>
        <v>#N/A</v>
      </c>
      <c r="BH24" s="143" t="e">
        <f>#N/A</f>
        <v>#N/A</v>
      </c>
      <c r="BI24" s="143" t="e">
        <f>#N/A</f>
        <v>#N/A</v>
      </c>
      <c r="BJ24" s="143" t="e">
        <f>SUM(BJ4,BJ5,BJ7,BJ20,BJ23)</f>
        <v>#N/A</v>
      </c>
    </row>
    <row r="25" spans="2:62" ht="12" thickTop="1">
      <c r="B25" s="29" t="s">
        <v>151</v>
      </c>
      <c r="J25" s="120"/>
      <c r="L25" s="120"/>
      <c r="N25" s="120"/>
      <c r="P25" s="120"/>
      <c r="R25" s="120"/>
      <c r="T25" s="120"/>
      <c r="V25" s="120"/>
      <c r="X25" s="120"/>
      <c r="Z25" s="120"/>
      <c r="AB25" s="120"/>
      <c r="AD25" s="120"/>
      <c r="AF25" s="120"/>
      <c r="AH25" s="120"/>
      <c r="AJ25" s="120"/>
      <c r="AL25" s="120"/>
      <c r="AN25" s="120"/>
      <c r="AP25" s="120"/>
      <c r="AR25" s="120"/>
      <c r="AT25" s="120"/>
      <c r="AV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</row>
    <row r="26" spans="10:62" ht="11.25">
      <c r="J26" s="120"/>
      <c r="L26" s="120"/>
      <c r="N26" s="120"/>
      <c r="P26" s="120"/>
      <c r="R26" s="120"/>
      <c r="T26" s="120"/>
      <c r="V26" s="120"/>
      <c r="X26" s="120"/>
      <c r="Z26" s="120"/>
      <c r="AB26" s="120"/>
      <c r="AD26" s="120"/>
      <c r="AF26" s="120"/>
      <c r="AH26" s="120"/>
      <c r="AJ26" s="120"/>
      <c r="AL26" s="120"/>
      <c r="AN26" s="120"/>
      <c r="AP26" s="120"/>
      <c r="AR26" s="120"/>
      <c r="AT26" s="120"/>
      <c r="AV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</row>
    <row r="27" spans="10:62" ht="11.25">
      <c r="J27" s="120"/>
      <c r="L27" s="120"/>
      <c r="N27" s="120"/>
      <c r="P27" s="120"/>
      <c r="R27" s="120"/>
      <c r="T27" s="120"/>
      <c r="V27" s="120"/>
      <c r="X27" s="120"/>
      <c r="Z27" s="120"/>
      <c r="AB27" s="120"/>
      <c r="AD27" s="120"/>
      <c r="AF27" s="120"/>
      <c r="AH27" s="120"/>
      <c r="AJ27" s="120"/>
      <c r="AL27" s="120"/>
      <c r="AN27" s="120"/>
      <c r="AP27" s="120"/>
      <c r="AR27" s="120"/>
      <c r="AT27" s="120"/>
      <c r="AV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</row>
    <row r="28" spans="2:62" s="119" customFormat="1" ht="11.25">
      <c r="B28" s="119" t="s">
        <v>152</v>
      </c>
      <c r="J28" s="138">
        <f>+J30+J38</f>
        <v>2351828.75</v>
      </c>
      <c r="L28" s="138">
        <f>+L30+L38</f>
        <v>2351828.75</v>
      </c>
      <c r="N28" s="138">
        <f>+N30+N38</f>
        <v>2123223</v>
      </c>
      <c r="P28" s="138">
        <f>+P30+P38</f>
        <v>2439671</v>
      </c>
      <c r="R28" s="138">
        <f>+R30+R38</f>
        <v>2467079</v>
      </c>
      <c r="T28" s="138">
        <f>+T30+T38</f>
        <v>2477574</v>
      </c>
      <c r="V28" s="138">
        <f>+V30+V38</f>
        <v>2508859</v>
      </c>
      <c r="X28" s="138">
        <f>+X30+X38</f>
        <v>2536148</v>
      </c>
      <c r="Z28" s="138">
        <f>+Z30+Z38</f>
        <v>2577662</v>
      </c>
      <c r="AB28" s="138">
        <f>+AB30+AB38</f>
        <v>2600630</v>
      </c>
      <c r="AD28" s="138">
        <f>+AD30+AD38</f>
        <v>2646035</v>
      </c>
      <c r="AF28" s="138">
        <f>+AF30+AF38</f>
        <v>2683684</v>
      </c>
      <c r="AH28" s="138">
        <f>+AH30+AH38</f>
        <v>2637867</v>
      </c>
      <c r="AJ28" s="138">
        <f>+AJ30+AJ38</f>
        <v>2520059</v>
      </c>
      <c r="AL28" s="138">
        <f>+AL30+AL38</f>
        <v>5010454</v>
      </c>
      <c r="AN28" s="138">
        <f>+AN30+AN38</f>
        <v>5024950</v>
      </c>
      <c r="AP28" s="138">
        <f>+AP30+AP38</f>
        <v>5014788</v>
      </c>
      <c r="AR28" s="138">
        <f>+AR30+AR38</f>
        <v>5053369</v>
      </c>
      <c r="AT28" s="138">
        <f>+AT30+AT38</f>
        <v>6104514</v>
      </c>
      <c r="AV28" s="138">
        <f>+AV30+AV38</f>
        <v>6197640</v>
      </c>
      <c r="AX28" s="138">
        <f>+AX30+AX38</f>
        <v>6200691.53</v>
      </c>
      <c r="AY28" s="138" t="e">
        <f>#N/A</f>
        <v>#N/A</v>
      </c>
      <c r="AZ28" s="138" t="e">
        <f>#N/A</f>
        <v>#N/A</v>
      </c>
      <c r="BA28" s="138" t="e">
        <f>#N/A</f>
        <v>#N/A</v>
      </c>
      <c r="BB28" s="138" t="e">
        <f>#N/A</f>
        <v>#N/A</v>
      </c>
      <c r="BC28" s="138" t="e">
        <f>#N/A</f>
        <v>#N/A</v>
      </c>
      <c r="BD28" s="138" t="e">
        <f>#N/A</f>
        <v>#N/A</v>
      </c>
      <c r="BE28" s="138" t="e">
        <f>#N/A</f>
        <v>#N/A</v>
      </c>
      <c r="BF28" s="138" t="e">
        <f>#N/A</f>
        <v>#N/A</v>
      </c>
      <c r="BG28" s="138" t="e">
        <f>#N/A</f>
        <v>#N/A</v>
      </c>
      <c r="BH28" s="138" t="e">
        <f>#N/A</f>
        <v>#N/A</v>
      </c>
      <c r="BI28" s="138" t="e">
        <f>#N/A</f>
        <v>#N/A</v>
      </c>
      <c r="BJ28" s="138" t="e">
        <f>#N/A</f>
        <v>#N/A</v>
      </c>
    </row>
    <row r="29" spans="10:63" ht="11.25">
      <c r="J29" s="144"/>
      <c r="L29" s="144"/>
      <c r="N29" s="144"/>
      <c r="P29" s="144"/>
      <c r="R29" s="144"/>
      <c r="T29" s="144"/>
      <c r="V29" s="144"/>
      <c r="X29" s="144"/>
      <c r="Z29" s="144"/>
      <c r="AB29" s="144"/>
      <c r="AD29" s="144"/>
      <c r="AF29" s="144"/>
      <c r="AH29" s="144"/>
      <c r="AJ29" s="144"/>
      <c r="AL29" s="144"/>
      <c r="AN29" s="144"/>
      <c r="AP29" s="144"/>
      <c r="AR29" s="144"/>
      <c r="AT29" s="144"/>
      <c r="AV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30"/>
    </row>
    <row r="30" spans="2:63" ht="11.25">
      <c r="B30" s="29" t="s">
        <v>153</v>
      </c>
      <c r="J30" s="131">
        <f>SUM(J31:J36)</f>
        <v>952533.0700000001</v>
      </c>
      <c r="L30" s="131">
        <f>SUM(L31:L36)</f>
        <v>952533.0700000001</v>
      </c>
      <c r="N30" s="131">
        <f>SUM(N31:N36)</f>
        <v>679360</v>
      </c>
      <c r="P30" s="131">
        <f>SUM(P31:P36)</f>
        <v>993959</v>
      </c>
      <c r="R30" s="131">
        <f>SUM(R31:R36)</f>
        <v>1022035</v>
      </c>
      <c r="T30" s="131">
        <f>SUM(T31:T36)</f>
        <v>1049902</v>
      </c>
      <c r="V30" s="131">
        <f>SUM(V31:V36)</f>
        <v>1077563</v>
      </c>
      <c r="X30" s="131">
        <f>SUM(X31:X36)</f>
        <v>1105017</v>
      </c>
      <c r="Z30" s="131">
        <f>SUM(Z31:Z36)</f>
        <v>1137464</v>
      </c>
      <c r="AB30" s="131">
        <f>SUM(AB31:AB36)</f>
        <v>1164545</v>
      </c>
      <c r="AD30" s="131">
        <f>SUM(AD31:AD36)</f>
        <v>1191466</v>
      </c>
      <c r="AF30" s="131">
        <f>SUM(AF31:AF36)</f>
        <v>1218172</v>
      </c>
      <c r="AH30" s="131">
        <f>SUM(AH31:AH36)</f>
        <v>1249915</v>
      </c>
      <c r="AJ30" s="131">
        <f>SUM(AJ31:AJ36)</f>
        <v>1159080</v>
      </c>
      <c r="AL30" s="131">
        <f>SUM(AL31:AL36)</f>
        <v>3486033</v>
      </c>
      <c r="AN30" s="131">
        <f>SUM(AN31:AN36)</f>
        <v>3511973</v>
      </c>
      <c r="AP30" s="131">
        <f>SUM(AP31:AP36)</f>
        <v>3513746</v>
      </c>
      <c r="AR30" s="131">
        <f>SUM(AR31:AR36)</f>
        <v>3544683</v>
      </c>
      <c r="AT30" s="131">
        <f>SUM(AT31:AT36)</f>
        <v>3570323</v>
      </c>
      <c r="AV30" s="131">
        <f>SUM(AV31:AV36)</f>
        <v>3668937</v>
      </c>
      <c r="AX30" s="131">
        <f>SUM(AX31:AX36)</f>
        <v>3696479.5300000003</v>
      </c>
      <c r="AY30" s="131">
        <f>SUM(AY31:AY36)</f>
        <v>3729642.37</v>
      </c>
      <c r="AZ30" s="131">
        <f>SUM(AZ31:AZ36)</f>
        <v>3756881.7399999993</v>
      </c>
      <c r="BA30" s="131">
        <f>SUM(BA31:BA36)</f>
        <v>3783952.1799999997</v>
      </c>
      <c r="BB30" s="131">
        <f>SUM(BB31:BB36)</f>
        <v>3817208.2299999995</v>
      </c>
      <c r="BC30" s="131" t="e">
        <f>#N/A</f>
        <v>#N/A</v>
      </c>
      <c r="BD30" s="131" t="e">
        <f>#N/A</f>
        <v>#N/A</v>
      </c>
      <c r="BE30" s="131" t="e">
        <f>#N/A</f>
        <v>#N/A</v>
      </c>
      <c r="BF30" s="131" t="e">
        <f>#N/A</f>
        <v>#N/A</v>
      </c>
      <c r="BG30" s="131" t="e">
        <f>#N/A</f>
        <v>#N/A</v>
      </c>
      <c r="BH30" s="131" t="e">
        <f>#N/A</f>
        <v>#N/A</v>
      </c>
      <c r="BI30" s="131" t="e">
        <f>#N/A</f>
        <v>#N/A</v>
      </c>
      <c r="BJ30" s="131">
        <f>SUM(BJ32:BJ36)</f>
        <v>6884556.45</v>
      </c>
      <c r="BK30" s="34"/>
    </row>
    <row r="31" spans="3:63" s="145" customFormat="1" ht="11.25">
      <c r="C31" s="145" t="s">
        <v>147</v>
      </c>
      <c r="E31" s="145" t="s">
        <v>154</v>
      </c>
      <c r="J31" s="146">
        <v>-3005938.15</v>
      </c>
      <c r="L31" s="146">
        <v>-3005938.15</v>
      </c>
      <c r="N31" s="146">
        <v>-3307791</v>
      </c>
      <c r="P31" s="146">
        <v>-3021394</v>
      </c>
      <c r="R31" s="146">
        <v>-3021394</v>
      </c>
      <c r="T31" s="146">
        <v>-3021394</v>
      </c>
      <c r="V31" s="146">
        <v>-3021394</v>
      </c>
      <c r="X31" s="146">
        <v>-3021394</v>
      </c>
      <c r="Z31" s="146">
        <v>-3021394</v>
      </c>
      <c r="AB31" s="146">
        <v>-3021394</v>
      </c>
      <c r="AD31" s="146">
        <v>-3021394</v>
      </c>
      <c r="AF31" s="146">
        <v>-3021394</v>
      </c>
      <c r="AH31" s="146">
        <v>-3021394</v>
      </c>
      <c r="AJ31" s="146">
        <v>-3148737</v>
      </c>
      <c r="AL31" s="146">
        <v>-852929</v>
      </c>
      <c r="AN31" s="146">
        <v>-852929</v>
      </c>
      <c r="AP31" s="146">
        <v>-852929</v>
      </c>
      <c r="AR31" s="146">
        <v>-852929</v>
      </c>
      <c r="AT31" s="146">
        <v>-852929</v>
      </c>
      <c r="AV31" s="146">
        <v>-852929</v>
      </c>
      <c r="AX31" s="146">
        <v>-852929</v>
      </c>
      <c r="AY31" s="146">
        <v>-852929</v>
      </c>
      <c r="AZ31" s="146">
        <v>-852929</v>
      </c>
      <c r="BA31" s="146">
        <v>-852929</v>
      </c>
      <c r="BB31" s="146">
        <v>-852929</v>
      </c>
      <c r="BC31" s="146">
        <v>-852929</v>
      </c>
      <c r="BD31" s="146">
        <v>-852929</v>
      </c>
      <c r="BE31" s="146">
        <v>-999696</v>
      </c>
      <c r="BF31" s="146">
        <v>-1271067</v>
      </c>
      <c r="BG31" s="146">
        <v>-3091637.19</v>
      </c>
      <c r="BH31" s="146">
        <v>-4085319.75</v>
      </c>
      <c r="BI31" s="146">
        <v>-6533856.07</v>
      </c>
      <c r="BJ31" s="146"/>
      <c r="BK31" s="147"/>
    </row>
    <row r="32" spans="3:63" ht="11.25">
      <c r="C32" s="29" t="s">
        <v>82</v>
      </c>
      <c r="D32" s="29" t="s">
        <v>155</v>
      </c>
      <c r="F32" s="29" t="s">
        <v>156</v>
      </c>
      <c r="I32" s="29" t="s">
        <v>157</v>
      </c>
      <c r="J32" s="133">
        <v>1289690.6</v>
      </c>
      <c r="L32" s="133">
        <v>1289690.6</v>
      </c>
      <c r="N32" s="133">
        <v>1302854</v>
      </c>
      <c r="P32" s="133">
        <v>1315568</v>
      </c>
      <c r="R32" s="133">
        <v>1328183</v>
      </c>
      <c r="T32" s="133">
        <v>1340616</v>
      </c>
      <c r="V32" s="133">
        <v>1352868</v>
      </c>
      <c r="X32" s="133">
        <v>1364941</v>
      </c>
      <c r="Z32" s="133">
        <v>1382005</v>
      </c>
      <c r="AB32" s="148">
        <v>1393784</v>
      </c>
      <c r="AD32" s="148">
        <v>1405392</v>
      </c>
      <c r="AF32" s="148">
        <v>1416831</v>
      </c>
      <c r="AH32" s="148">
        <v>1433323</v>
      </c>
      <c r="AJ32" s="148">
        <v>1454604</v>
      </c>
      <c r="AL32" s="148">
        <v>1470549</v>
      </c>
      <c r="AN32" s="148">
        <v>1481314</v>
      </c>
      <c r="AP32" s="148">
        <v>1467936</v>
      </c>
      <c r="AR32" s="148">
        <v>1483748</v>
      </c>
      <c r="AT32" s="148">
        <v>1494288</v>
      </c>
      <c r="AV32" s="148">
        <v>1534919</v>
      </c>
      <c r="AX32" s="148">
        <v>1545201</v>
      </c>
      <c r="AY32" s="148">
        <v>1561129</v>
      </c>
      <c r="AZ32" s="148">
        <f>BA32-9883.76</f>
        <v>1571158.17</v>
      </c>
      <c r="BA32" s="133">
        <f>BB32-16093.31</f>
        <v>1581041.93</v>
      </c>
      <c r="BB32" s="148">
        <f>BC32-7265.94</f>
        <v>1597135.24</v>
      </c>
      <c r="BC32" s="133">
        <v>1604401.18</v>
      </c>
      <c r="BD32" s="133">
        <f>1637437.46-21415.56</f>
        <v>1616021.9</v>
      </c>
      <c r="BE32" s="133">
        <v>1637437.46</v>
      </c>
      <c r="BF32" s="133">
        <v>1840478.93</v>
      </c>
      <c r="BG32" s="133">
        <v>2140358.76</v>
      </c>
      <c r="BH32" s="133">
        <v>3239958.18</v>
      </c>
      <c r="BI32" s="133">
        <v>2713088.89</v>
      </c>
      <c r="BJ32" s="133">
        <v>2892260.45</v>
      </c>
      <c r="BK32" s="34"/>
    </row>
    <row r="33" spans="3:63" ht="11.25">
      <c r="C33" s="29" t="s">
        <v>158</v>
      </c>
      <c r="F33" s="29" t="s">
        <v>159</v>
      </c>
      <c r="I33" s="29" t="s">
        <v>160</v>
      </c>
      <c r="J33" s="134">
        <v>0</v>
      </c>
      <c r="L33" s="134">
        <v>0</v>
      </c>
      <c r="N33" s="134">
        <v>0</v>
      </c>
      <c r="P33" s="134">
        <v>0</v>
      </c>
      <c r="R33" s="134">
        <v>0</v>
      </c>
      <c r="T33" s="134">
        <v>0</v>
      </c>
      <c r="V33" s="134">
        <v>0</v>
      </c>
      <c r="X33" s="134">
        <v>0</v>
      </c>
      <c r="Z33" s="134">
        <v>0</v>
      </c>
      <c r="AB33" s="149">
        <v>0</v>
      </c>
      <c r="AD33" s="149">
        <v>0</v>
      </c>
      <c r="AF33" s="149">
        <v>0</v>
      </c>
      <c r="AH33" s="149">
        <v>0</v>
      </c>
      <c r="AJ33" s="149">
        <v>0</v>
      </c>
      <c r="AL33" s="149">
        <v>0</v>
      </c>
      <c r="AN33" s="149">
        <v>0</v>
      </c>
      <c r="AP33" s="149">
        <v>0</v>
      </c>
      <c r="AR33" s="149">
        <v>0</v>
      </c>
      <c r="AT33" s="149">
        <v>0</v>
      </c>
      <c r="AV33" s="149">
        <v>36906</v>
      </c>
      <c r="AX33" s="149">
        <v>39119</v>
      </c>
      <c r="AY33" s="149">
        <f>AZ33-2213</f>
        <v>41332</v>
      </c>
      <c r="AZ33" s="149">
        <f>BA33-2213</f>
        <v>43545</v>
      </c>
      <c r="BA33" s="134">
        <f>BB33-2213</f>
        <v>45758</v>
      </c>
      <c r="BB33" s="149">
        <f>BC33-2213</f>
        <v>47971</v>
      </c>
      <c r="BC33" s="134">
        <f>BD33-2213</f>
        <v>50184</v>
      </c>
      <c r="BD33" s="134">
        <f>54610-2213</f>
        <v>52397</v>
      </c>
      <c r="BE33" s="134">
        <v>54610</v>
      </c>
      <c r="BF33" s="134">
        <v>81166</v>
      </c>
      <c r="BG33" s="134">
        <v>107491</v>
      </c>
      <c r="BH33" s="134"/>
      <c r="BI33" s="134"/>
      <c r="BJ33" s="134"/>
      <c r="BK33" s="34"/>
    </row>
    <row r="34" spans="3:63" ht="11.25">
      <c r="C34" s="29" t="s">
        <v>161</v>
      </c>
      <c r="F34" s="29" t="s">
        <v>162</v>
      </c>
      <c r="I34" s="29" t="s">
        <v>163</v>
      </c>
      <c r="J34" s="134">
        <v>1408.23</v>
      </c>
      <c r="L34" s="134">
        <v>1408.23</v>
      </c>
      <c r="N34" s="134">
        <v>1416</v>
      </c>
      <c r="P34" s="134">
        <v>1423</v>
      </c>
      <c r="R34" s="134">
        <v>1430</v>
      </c>
      <c r="T34" s="134">
        <v>1437</v>
      </c>
      <c r="V34" s="134">
        <v>1444</v>
      </c>
      <c r="X34" s="134">
        <v>1451</v>
      </c>
      <c r="Z34" s="134">
        <v>1485</v>
      </c>
      <c r="AB34" s="149">
        <v>1465</v>
      </c>
      <c r="AD34" s="149">
        <v>1482</v>
      </c>
      <c r="AF34" s="149">
        <v>1479</v>
      </c>
      <c r="AH34" s="149">
        <v>1485</v>
      </c>
      <c r="AJ34" s="149">
        <v>1492</v>
      </c>
      <c r="AL34" s="149">
        <v>1498</v>
      </c>
      <c r="AN34" s="149">
        <v>1504</v>
      </c>
      <c r="AP34" s="149">
        <v>1511</v>
      </c>
      <c r="AR34" s="149">
        <v>1517</v>
      </c>
      <c r="AT34" s="149">
        <v>1523</v>
      </c>
      <c r="AV34" s="149">
        <v>1529</v>
      </c>
      <c r="AX34" s="149">
        <f>AY34-5.84</f>
        <v>1535.5300000000002</v>
      </c>
      <c r="AY34" s="149">
        <f>AZ34-5.84</f>
        <v>1541.3700000000001</v>
      </c>
      <c r="AZ34" s="149">
        <f>BA34-5.84</f>
        <v>1547.21</v>
      </c>
      <c r="BA34" s="134">
        <f>BB34-5.77</f>
        <v>1553.05</v>
      </c>
      <c r="BB34" s="149">
        <f>BC34-5.7</f>
        <v>1558.82</v>
      </c>
      <c r="BC34" s="134">
        <f>BD34-5.63</f>
        <v>1564.52</v>
      </c>
      <c r="BD34" s="134">
        <f>1575.74-5.59</f>
        <v>1570.15</v>
      </c>
      <c r="BE34" s="134">
        <v>1575.74</v>
      </c>
      <c r="BF34" s="134">
        <v>1754.35</v>
      </c>
      <c r="BG34" s="134">
        <v>2368</v>
      </c>
      <c r="BH34" s="134">
        <v>6438.69</v>
      </c>
      <c r="BI34" s="134">
        <v>7272.19</v>
      </c>
      <c r="BJ34" s="134">
        <v>7985.69</v>
      </c>
      <c r="BK34" s="34"/>
    </row>
    <row r="35" spans="3:63" ht="11.25">
      <c r="C35" s="29" t="s">
        <v>82</v>
      </c>
      <c r="D35" s="29" t="s">
        <v>164</v>
      </c>
      <c r="F35" s="29" t="s">
        <v>165</v>
      </c>
      <c r="I35" s="29" t="s">
        <v>166</v>
      </c>
      <c r="J35" s="134">
        <v>100552.57</v>
      </c>
      <c r="L35" s="134">
        <v>100552.57</v>
      </c>
      <c r="N35" s="134">
        <v>102067</v>
      </c>
      <c r="P35" s="134">
        <v>103566</v>
      </c>
      <c r="R35" s="134">
        <v>105050</v>
      </c>
      <c r="T35" s="134">
        <v>106518</v>
      </c>
      <c r="V35" s="134">
        <v>107972</v>
      </c>
      <c r="X35" s="134">
        <v>109411</v>
      </c>
      <c r="Z35" s="134">
        <v>110835</v>
      </c>
      <c r="AB35" s="149">
        <v>112245</v>
      </c>
      <c r="AD35" s="149">
        <v>113640</v>
      </c>
      <c r="AF35" s="149">
        <v>115021</v>
      </c>
      <c r="AH35" s="149">
        <v>116388</v>
      </c>
      <c r="AJ35" s="149">
        <v>117742</v>
      </c>
      <c r="AL35" s="149">
        <v>119081</v>
      </c>
      <c r="AN35" s="149">
        <v>120407</v>
      </c>
      <c r="AP35" s="149">
        <v>121719</v>
      </c>
      <c r="AR35" s="149">
        <v>123018</v>
      </c>
      <c r="AT35" s="149">
        <v>124304</v>
      </c>
      <c r="AV35" s="149">
        <v>125576</v>
      </c>
      <c r="AX35" s="149">
        <v>126836</v>
      </c>
      <c r="AY35" s="149">
        <v>128083</v>
      </c>
      <c r="AZ35" s="149">
        <f>BA35-1221.61</f>
        <v>129316.95000000001</v>
      </c>
      <c r="BA35" s="134">
        <f>BB35-1209.2</f>
        <v>130538.56000000001</v>
      </c>
      <c r="BB35" s="149">
        <f>BC35-1196.91</f>
        <v>131747.76</v>
      </c>
      <c r="BC35" s="134">
        <f>BD35-1184.74</f>
        <v>132944.67</v>
      </c>
      <c r="BD35" s="134">
        <f>135302.1-1172.69</f>
        <v>134129.41</v>
      </c>
      <c r="BE35" s="134">
        <v>135302.1</v>
      </c>
      <c r="BF35" s="134">
        <v>162053.23</v>
      </c>
      <c r="BG35" s="134">
        <v>200855.52</v>
      </c>
      <c r="BH35" s="134">
        <v>271690.68</v>
      </c>
      <c r="BI35" s="134">
        <v>297870.28</v>
      </c>
      <c r="BJ35" s="134">
        <v>358749.4</v>
      </c>
      <c r="BK35" s="34"/>
    </row>
    <row r="36" spans="3:63" ht="11.25">
      <c r="C36" s="29" t="s">
        <v>82</v>
      </c>
      <c r="D36" s="29" t="s">
        <v>167</v>
      </c>
      <c r="F36" s="29" t="s">
        <v>168</v>
      </c>
      <c r="I36" s="29" t="s">
        <v>169</v>
      </c>
      <c r="J36" s="135">
        <v>2566819.82</v>
      </c>
      <c r="L36" s="135">
        <v>2566819.82</v>
      </c>
      <c r="N36" s="135">
        <v>2580814</v>
      </c>
      <c r="P36" s="135">
        <v>2594796</v>
      </c>
      <c r="R36" s="135">
        <v>2608766</v>
      </c>
      <c r="T36" s="135">
        <v>2622725</v>
      </c>
      <c r="V36" s="135">
        <v>2636673</v>
      </c>
      <c r="X36" s="135">
        <v>2650608</v>
      </c>
      <c r="Z36" s="135">
        <v>2664533</v>
      </c>
      <c r="AB36" s="150">
        <v>2678445</v>
      </c>
      <c r="AD36" s="150">
        <v>2692346</v>
      </c>
      <c r="AF36" s="150">
        <v>2706235</v>
      </c>
      <c r="AH36" s="150">
        <v>2720113</v>
      </c>
      <c r="AJ36" s="150">
        <v>2733979</v>
      </c>
      <c r="AL36" s="150">
        <v>2747834</v>
      </c>
      <c r="AN36" s="150">
        <v>2761677</v>
      </c>
      <c r="AP36" s="150">
        <v>2775509</v>
      </c>
      <c r="AR36" s="150">
        <v>2789329</v>
      </c>
      <c r="AT36" s="150">
        <v>2803137</v>
      </c>
      <c r="AV36" s="150">
        <v>2822936</v>
      </c>
      <c r="AX36" s="150">
        <v>2836717</v>
      </c>
      <c r="AY36" s="150">
        <v>2850486</v>
      </c>
      <c r="AZ36" s="150">
        <f>BA36-13746.23</f>
        <v>2864243.4099999997</v>
      </c>
      <c r="BA36" s="135">
        <f>BB36-13734.77</f>
        <v>2877989.6399999997</v>
      </c>
      <c r="BB36" s="150">
        <f>BC36-13723.35</f>
        <v>2891724.4099999997</v>
      </c>
      <c r="BC36" s="135">
        <f>BD36-13711.92</f>
        <v>2905447.76</v>
      </c>
      <c r="BD36" s="135">
        <f>2932860.17-13700.49</f>
        <v>2919159.6799999997</v>
      </c>
      <c r="BE36" s="135">
        <v>2932860.17</v>
      </c>
      <c r="BF36" s="135">
        <v>3096379.02</v>
      </c>
      <c r="BG36" s="135">
        <v>3258271.51</v>
      </c>
      <c r="BH36" s="135">
        <v>3421589.49</v>
      </c>
      <c r="BI36" s="135">
        <v>3605940.39</v>
      </c>
      <c r="BJ36" s="135">
        <v>3625560.91</v>
      </c>
      <c r="BK36" s="34"/>
    </row>
    <row r="37" ht="11.25">
      <c r="BK37" s="34"/>
    </row>
    <row r="38" spans="2:63" ht="11.25">
      <c r="B38" s="29" t="s">
        <v>170</v>
      </c>
      <c r="J38" s="131">
        <f>SUM(J39:J43)</f>
        <v>1399295.6799999997</v>
      </c>
      <c r="L38" s="131">
        <f>SUM(L39:L43)</f>
        <v>1399295.6799999997</v>
      </c>
      <c r="N38" s="131">
        <f>SUM(N39:N43)</f>
        <v>1443863</v>
      </c>
      <c r="P38" s="131">
        <f>SUM(P39:P43)</f>
        <v>1445712</v>
      </c>
      <c r="R38" s="131">
        <f>SUM(R39:R43)</f>
        <v>1445044</v>
      </c>
      <c r="T38" s="131">
        <f>SUM(T39:T43)</f>
        <v>1427672</v>
      </c>
      <c r="V38" s="131">
        <f>SUM(V39:V43)</f>
        <v>1431296</v>
      </c>
      <c r="X38" s="131">
        <f>SUM(X39:X43)</f>
        <v>1431131</v>
      </c>
      <c r="Z38" s="131">
        <f>SUM(Z39:Z43)</f>
        <v>1440198</v>
      </c>
      <c r="AB38" s="131">
        <f>SUM(AB39:AB43)</f>
        <v>1436085</v>
      </c>
      <c r="AD38" s="131">
        <f>SUM(AD39:AD43)</f>
        <v>1454569</v>
      </c>
      <c r="AF38" s="131">
        <f>SUM(AF39:AF43)</f>
        <v>1465512</v>
      </c>
      <c r="AH38" s="131">
        <f>SUM(AH39:AH43)</f>
        <v>1387952</v>
      </c>
      <c r="AJ38" s="131">
        <f>SUM(AJ39:AJ43)</f>
        <v>1360979</v>
      </c>
      <c r="AL38" s="131">
        <f>SUM(AL39:AL43)</f>
        <v>1524421</v>
      </c>
      <c r="AN38" s="131">
        <f>SUM(AN39:AN43)</f>
        <v>1512977</v>
      </c>
      <c r="AP38" s="131">
        <f>SUM(AP39:AP43)</f>
        <v>1501042</v>
      </c>
      <c r="AR38" s="131">
        <f>SUM(AR39:AR43)</f>
        <v>1508686</v>
      </c>
      <c r="AT38" s="131">
        <f>SUM(AT39:AT43)</f>
        <v>2534191</v>
      </c>
      <c r="AV38" s="131">
        <f>SUM(AV39:AV43)</f>
        <v>2528703</v>
      </c>
      <c r="AX38" s="131">
        <f>SUM(AX39:AX43)</f>
        <v>2504212</v>
      </c>
      <c r="AY38" s="131">
        <f>SUM(AY39:AY43)</f>
        <v>2486437</v>
      </c>
      <c r="AZ38" s="131">
        <f>SUM(AZ39:AZ43)</f>
        <v>2471494.46</v>
      </c>
      <c r="BA38" s="131">
        <f>SUM(BA39:BA43)</f>
        <v>2464065.73</v>
      </c>
      <c r="BB38" s="131">
        <f>SUM(BB39:BB43)</f>
        <v>2466755.8400000003</v>
      </c>
      <c r="BC38" s="131" t="e">
        <f>#N/A</f>
        <v>#N/A</v>
      </c>
      <c r="BD38" s="131" t="e">
        <f>#N/A</f>
        <v>#N/A</v>
      </c>
      <c r="BE38" s="131" t="e">
        <f>#N/A</f>
        <v>#N/A</v>
      </c>
      <c r="BF38" s="131" t="e">
        <f>#N/A</f>
        <v>#N/A</v>
      </c>
      <c r="BG38" s="131" t="e">
        <f>#N/A</f>
        <v>#N/A</v>
      </c>
      <c r="BH38" s="131" t="e">
        <f>#N/A</f>
        <v>#N/A</v>
      </c>
      <c r="BI38" s="131" t="e">
        <f>#N/A</f>
        <v>#N/A</v>
      </c>
      <c r="BJ38" s="131">
        <f>SUM(BJ40:BJ43)</f>
        <v>6634111.75</v>
      </c>
      <c r="BK38" s="34"/>
    </row>
    <row r="39" spans="3:63" s="145" customFormat="1" ht="11.25">
      <c r="C39" s="145" t="s">
        <v>171</v>
      </c>
      <c r="F39" s="145" t="s">
        <v>190</v>
      </c>
      <c r="J39" s="172">
        <v>-3428118.08</v>
      </c>
      <c r="L39" s="172">
        <v>-3428118.08</v>
      </c>
      <c r="N39" s="172">
        <v>-3379507</v>
      </c>
      <c r="P39" s="151">
        <v>-3369349</v>
      </c>
      <c r="R39" s="151">
        <v>-3369349</v>
      </c>
      <c r="T39" s="151">
        <v>-3369349</v>
      </c>
      <c r="V39" s="151">
        <v>-3369349</v>
      </c>
      <c r="X39" s="151">
        <v>-3369349</v>
      </c>
      <c r="Z39" s="151">
        <v>-3369349</v>
      </c>
      <c r="AB39" s="151">
        <v>-3369349</v>
      </c>
      <c r="AD39" s="151">
        <v>-3369349</v>
      </c>
      <c r="AF39" s="151">
        <v>-3369349</v>
      </c>
      <c r="AH39" s="151">
        <v>-3369349</v>
      </c>
      <c r="AJ39" s="151">
        <v>-3369537</v>
      </c>
      <c r="AL39" s="151">
        <v>-3210307</v>
      </c>
      <c r="AN39" s="151">
        <v>-3210217</v>
      </c>
      <c r="AP39" s="151">
        <v>-3210501</v>
      </c>
      <c r="AR39" s="151">
        <v>-3210501</v>
      </c>
      <c r="AT39" s="151">
        <v>-2178321</v>
      </c>
      <c r="AV39" s="151">
        <v>-2178321</v>
      </c>
      <c r="AX39" s="151">
        <v>-2178321</v>
      </c>
      <c r="AY39" s="151">
        <v>-2178321</v>
      </c>
      <c r="AZ39" s="151">
        <v>-2178321</v>
      </c>
      <c r="BA39" s="151">
        <v>-2178321</v>
      </c>
      <c r="BB39" s="151">
        <v>-2178321</v>
      </c>
      <c r="BC39" s="151">
        <v>-2178321</v>
      </c>
      <c r="BD39" s="151">
        <v>-2178321</v>
      </c>
      <c r="BE39" s="146">
        <v>-2178321</v>
      </c>
      <c r="BF39" s="146">
        <v>-2657133</v>
      </c>
      <c r="BG39" s="146">
        <v>-1245733</v>
      </c>
      <c r="BH39" s="146">
        <v>-6503615.06</v>
      </c>
      <c r="BI39" s="146">
        <v>-6747047</v>
      </c>
      <c r="BJ39" s="146"/>
      <c r="BK39" s="147"/>
    </row>
    <row r="40" spans="3:63" ht="11.25">
      <c r="C40" s="29" t="s">
        <v>155</v>
      </c>
      <c r="F40" s="29" t="s">
        <v>172</v>
      </c>
      <c r="I40" s="29" t="s">
        <v>157</v>
      </c>
      <c r="J40" s="133">
        <v>4151117.3</v>
      </c>
      <c r="L40" s="133">
        <v>4151117.3</v>
      </c>
      <c r="N40" s="133">
        <v>4162037</v>
      </c>
      <c r="P40" s="133">
        <v>4168340</v>
      </c>
      <c r="R40" s="133">
        <v>4180416</v>
      </c>
      <c r="T40" s="133">
        <v>4178401</v>
      </c>
      <c r="V40" s="133">
        <v>4197177</v>
      </c>
      <c r="X40" s="133">
        <v>4211883</v>
      </c>
      <c r="Z40" s="133">
        <v>4235009</v>
      </c>
      <c r="AB40" s="148">
        <v>4247322</v>
      </c>
      <c r="AD40" s="148">
        <v>4269165</v>
      </c>
      <c r="AF40" s="148">
        <v>4293610</v>
      </c>
      <c r="AH40" s="148">
        <v>4248534</v>
      </c>
      <c r="AJ40" s="148">
        <v>4238832</v>
      </c>
      <c r="AL40" s="148">
        <v>4260131</v>
      </c>
      <c r="AN40" s="148">
        <v>4265234</v>
      </c>
      <c r="AP40" s="148">
        <v>4269898</v>
      </c>
      <c r="AR40" s="148">
        <v>4293521</v>
      </c>
      <c r="AT40" s="148">
        <v>4300344</v>
      </c>
      <c r="AV40" s="148">
        <v>4310630</v>
      </c>
      <c r="AX40" s="148">
        <v>4301562</v>
      </c>
      <c r="AY40" s="148">
        <v>4299128</v>
      </c>
      <c r="AZ40" s="148">
        <f>BA40-7722.21</f>
        <v>4298428.46</v>
      </c>
      <c r="BA40" s="133">
        <f>BB40-8303.28</f>
        <v>4306150.67</v>
      </c>
      <c r="BB40" s="148">
        <f>BC40+89650.38</f>
        <v>4314453.95</v>
      </c>
      <c r="BC40" s="133">
        <f>BD40-20231.14</f>
        <v>4224803.57</v>
      </c>
      <c r="BD40" s="133">
        <f>4236361.3+8673.41</f>
        <v>4245034.71</v>
      </c>
      <c r="BE40" s="133">
        <v>4236361.3</v>
      </c>
      <c r="BF40" s="133">
        <v>4342346.77</v>
      </c>
      <c r="BG40" s="133">
        <v>5206032.08</v>
      </c>
      <c r="BH40" s="133">
        <v>5801746.43</v>
      </c>
      <c r="BI40" s="133">
        <v>5522443.21</v>
      </c>
      <c r="BJ40" s="133">
        <v>5225580.29</v>
      </c>
      <c r="BK40" s="34"/>
    </row>
    <row r="41" spans="3:63" ht="11.25">
      <c r="C41" s="29" t="s">
        <v>161</v>
      </c>
      <c r="F41" s="29" t="s">
        <v>173</v>
      </c>
      <c r="I41" s="29" t="s">
        <v>163</v>
      </c>
      <c r="J41" s="134">
        <v>496.73</v>
      </c>
      <c r="L41" s="134">
        <v>496.73</v>
      </c>
      <c r="N41" s="134">
        <v>499</v>
      </c>
      <c r="P41" s="134">
        <v>493</v>
      </c>
      <c r="R41" s="134">
        <v>489</v>
      </c>
      <c r="T41" s="134">
        <v>492</v>
      </c>
      <c r="V41" s="134">
        <v>491</v>
      </c>
      <c r="X41" s="134">
        <v>495</v>
      </c>
      <c r="Z41" s="134">
        <v>488</v>
      </c>
      <c r="AB41" s="149">
        <v>491</v>
      </c>
      <c r="AD41" s="149">
        <v>486</v>
      </c>
      <c r="AF41" s="149">
        <v>486</v>
      </c>
      <c r="AH41" s="149">
        <v>495</v>
      </c>
      <c r="AJ41" s="149">
        <v>486</v>
      </c>
      <c r="AL41" s="149">
        <v>492</v>
      </c>
      <c r="AN41" s="149">
        <v>485</v>
      </c>
      <c r="AP41" s="149">
        <v>477</v>
      </c>
      <c r="AR41" s="149">
        <v>473</v>
      </c>
      <c r="AT41" s="149">
        <v>470</v>
      </c>
      <c r="AV41" s="149">
        <v>481</v>
      </c>
      <c r="AX41" s="149">
        <v>482</v>
      </c>
      <c r="AY41" s="149">
        <v>465</v>
      </c>
      <c r="AZ41" s="149">
        <f>BA41+7.19</f>
        <v>467.17</v>
      </c>
      <c r="BA41" s="134">
        <v>459.98</v>
      </c>
      <c r="BB41" s="149">
        <f>BC41-8.62</f>
        <v>432.2</v>
      </c>
      <c r="BC41" s="134">
        <f>BD41-4.54</f>
        <v>440.82</v>
      </c>
      <c r="BD41" s="134">
        <f>447.18-1.82</f>
        <v>445.36</v>
      </c>
      <c r="BE41" s="134">
        <v>447.18</v>
      </c>
      <c r="BF41" s="134">
        <v>416.98</v>
      </c>
      <c r="BG41" s="134">
        <v>1659.94</v>
      </c>
      <c r="BH41" s="134">
        <v>5264.11</v>
      </c>
      <c r="BI41" s="134">
        <v>6072.18</v>
      </c>
      <c r="BJ41" s="134">
        <v>5538.14</v>
      </c>
      <c r="BK41" s="34"/>
    </row>
    <row r="42" spans="3:63" ht="11.25">
      <c r="C42" s="29" t="s">
        <v>164</v>
      </c>
      <c r="F42" s="29" t="s">
        <v>174</v>
      </c>
      <c r="I42" s="29" t="s">
        <v>166</v>
      </c>
      <c r="J42" s="134">
        <v>256404.15</v>
      </c>
      <c r="L42" s="134">
        <v>256404.15</v>
      </c>
      <c r="N42" s="134">
        <v>258987</v>
      </c>
      <c r="P42" s="134">
        <v>261950</v>
      </c>
      <c r="R42" s="134">
        <v>266373</v>
      </c>
      <c r="T42" s="134">
        <v>268196</v>
      </c>
      <c r="V42" s="134">
        <v>269964</v>
      </c>
      <c r="X42" s="134">
        <v>272028</v>
      </c>
      <c r="Z42" s="134">
        <v>274936</v>
      </c>
      <c r="AB42" s="149">
        <v>275202</v>
      </c>
      <c r="AD42" s="149">
        <v>279835</v>
      </c>
      <c r="AF42" s="149">
        <v>282876</v>
      </c>
      <c r="AH42" s="149">
        <v>275385</v>
      </c>
      <c r="AJ42" s="149">
        <v>274598</v>
      </c>
      <c r="AL42" s="149">
        <v>273880</v>
      </c>
      <c r="AN42" s="149">
        <v>273206</v>
      </c>
      <c r="AP42" s="149">
        <v>272863</v>
      </c>
      <c r="AR42" s="149">
        <v>272719</v>
      </c>
      <c r="AT42" s="149">
        <v>275062</v>
      </c>
      <c r="AV42" s="149">
        <v>275009</v>
      </c>
      <c r="AX42" s="149">
        <v>275017</v>
      </c>
      <c r="AY42" s="149">
        <v>275017</v>
      </c>
      <c r="AZ42" s="149">
        <f>BA42+476.21</f>
        <v>276098.08</v>
      </c>
      <c r="BA42" s="134">
        <f>BB42-1337.9</f>
        <v>275621.87</v>
      </c>
      <c r="BB42" s="149">
        <f>BC42+9129.01</f>
        <v>276959.77</v>
      </c>
      <c r="BC42" s="134">
        <f>276246.56+788.08-9203.88</f>
        <v>267830.76</v>
      </c>
      <c r="BD42" s="134">
        <f>276246.56-788.08</f>
        <v>275458.48</v>
      </c>
      <c r="BE42" s="134">
        <v>276246.56</v>
      </c>
      <c r="BF42" s="134">
        <v>282423.57</v>
      </c>
      <c r="BG42" s="134">
        <v>370898.52</v>
      </c>
      <c r="BH42" s="134">
        <v>888657.86</v>
      </c>
      <c r="BI42" s="134">
        <v>874384.81</v>
      </c>
      <c r="BJ42" s="134">
        <v>804781.04</v>
      </c>
      <c r="BK42" s="34"/>
    </row>
    <row r="43" spans="3:63" ht="11.25">
      <c r="C43" s="29" t="s">
        <v>167</v>
      </c>
      <c r="F43" s="29" t="s">
        <v>175</v>
      </c>
      <c r="I43" s="29" t="s">
        <v>169</v>
      </c>
      <c r="J43" s="135">
        <v>419395.58</v>
      </c>
      <c r="L43" s="135">
        <v>419395.58</v>
      </c>
      <c r="N43" s="135">
        <v>401847</v>
      </c>
      <c r="P43" s="135">
        <v>384278</v>
      </c>
      <c r="R43" s="135">
        <v>367115</v>
      </c>
      <c r="T43" s="135">
        <v>349932</v>
      </c>
      <c r="V43" s="135">
        <v>333013</v>
      </c>
      <c r="X43" s="135">
        <v>316074</v>
      </c>
      <c r="Z43" s="135">
        <v>299114</v>
      </c>
      <c r="AB43" s="150">
        <v>282419</v>
      </c>
      <c r="AD43" s="150">
        <v>274432</v>
      </c>
      <c r="AF43" s="150">
        <v>257889</v>
      </c>
      <c r="AH43" s="150">
        <v>232887</v>
      </c>
      <c r="AJ43" s="150">
        <v>216600</v>
      </c>
      <c r="AL43" s="150">
        <v>200225</v>
      </c>
      <c r="AN43" s="150">
        <v>184269</v>
      </c>
      <c r="AP43" s="150">
        <v>168305</v>
      </c>
      <c r="AR43" s="150">
        <v>152474</v>
      </c>
      <c r="AT43" s="150">
        <v>136636</v>
      </c>
      <c r="AV43" s="150">
        <v>120904</v>
      </c>
      <c r="AX43" s="150">
        <v>105472</v>
      </c>
      <c r="AY43" s="150">
        <v>90148</v>
      </c>
      <c r="AZ43" s="150">
        <f>BA43+14667.54</f>
        <v>74821.75</v>
      </c>
      <c r="BA43" s="135">
        <f>BB43+6923.29</f>
        <v>60154.21</v>
      </c>
      <c r="BB43" s="150">
        <f>BC43+22604.51</f>
        <v>53230.92</v>
      </c>
      <c r="BC43" s="135">
        <f>BD43+14623.76</f>
        <v>30626.41</v>
      </c>
      <c r="BD43" s="135">
        <f>15908.02+94.63</f>
        <v>16002.65</v>
      </c>
      <c r="BE43" s="135">
        <v>15908.02</v>
      </c>
      <c r="BF43" s="135">
        <v>16314.41</v>
      </c>
      <c r="BG43" s="135">
        <v>21543.14</v>
      </c>
      <c r="BH43" s="135">
        <v>20214.49</v>
      </c>
      <c r="BI43" s="135">
        <v>639297.54</v>
      </c>
      <c r="BJ43" s="135">
        <v>598212.28</v>
      </c>
      <c r="BK43" s="34"/>
    </row>
    <row r="44" spans="10:63" ht="11.25">
      <c r="J44" s="136"/>
      <c r="L44" s="136"/>
      <c r="N44" s="136"/>
      <c r="P44" s="136"/>
      <c r="R44" s="136"/>
      <c r="T44" s="136"/>
      <c r="V44" s="136"/>
      <c r="X44" s="136"/>
      <c r="Z44" s="136"/>
      <c r="AB44" s="136"/>
      <c r="AD44" s="136"/>
      <c r="AF44" s="136"/>
      <c r="AH44" s="136"/>
      <c r="AJ44" s="136"/>
      <c r="AL44" s="136"/>
      <c r="AN44" s="136"/>
      <c r="AP44" s="136"/>
      <c r="AR44" s="136"/>
      <c r="AT44" s="136"/>
      <c r="AV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7"/>
    </row>
    <row r="45" spans="10:62" ht="11.25">
      <c r="J45" s="120"/>
      <c r="L45" s="120"/>
      <c r="N45" s="120"/>
      <c r="P45" s="120"/>
      <c r="R45" s="120"/>
      <c r="T45" s="120"/>
      <c r="V45" s="120"/>
      <c r="X45" s="120"/>
      <c r="Z45" s="120"/>
      <c r="AB45" s="120"/>
      <c r="AD45" s="120"/>
      <c r="AF45" s="120"/>
      <c r="AH45" s="120"/>
      <c r="AJ45" s="120"/>
      <c r="AL45" s="120"/>
      <c r="AN45" s="120"/>
      <c r="AP45" s="120"/>
      <c r="AR45" s="120"/>
      <c r="AT45" s="120"/>
      <c r="AV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</row>
    <row r="46" spans="2:62" s="119" customFormat="1" ht="11.25">
      <c r="B46" s="119" t="s">
        <v>176</v>
      </c>
      <c r="G46" s="119" t="s">
        <v>177</v>
      </c>
      <c r="J46" s="138">
        <f>SUM(J47:J51)</f>
        <v>6214794.99</v>
      </c>
      <c r="L46" s="138">
        <f>SUM(L47:L51)</f>
        <v>6214794.99</v>
      </c>
      <c r="N46" s="138">
        <f>SUM(N47:N51)</f>
        <v>6118097</v>
      </c>
      <c r="P46" s="138">
        <f>SUM(P47:P51)</f>
        <v>5914427</v>
      </c>
      <c r="R46" s="138">
        <f>SUM(R47:R51)</f>
        <v>5837358</v>
      </c>
      <c r="T46" s="138">
        <f>SUM(T47:T51)</f>
        <v>5730736</v>
      </c>
      <c r="V46" s="138">
        <f>SUM(V47:V51)</f>
        <v>5597492</v>
      </c>
      <c r="X46" s="138">
        <f>SUM(X47:X51)</f>
        <v>5527359</v>
      </c>
      <c r="Z46" s="138">
        <f>SUM(Z47:Z51)</f>
        <v>5425065</v>
      </c>
      <c r="AB46" s="138">
        <f>SUM(AB47:AB51)</f>
        <v>5340790</v>
      </c>
      <c r="AD46" s="138">
        <f>SUM(AD47:AD51)</f>
        <v>5268782</v>
      </c>
      <c r="AF46" s="138">
        <f>SUM(AF47:AF51)</f>
        <v>5200172</v>
      </c>
      <c r="AH46" s="138">
        <f>SUM(AH47:AH51)</f>
        <v>5200172</v>
      </c>
      <c r="AJ46" s="138">
        <f>SUM(AJ47:AJ51)</f>
        <v>5059049</v>
      </c>
      <c r="AL46" s="138">
        <f>SUM(AL47:AL51)</f>
        <v>4915295</v>
      </c>
      <c r="AN46" s="138">
        <f>SUM(AN47:AN51)</f>
        <v>4760832.53</v>
      </c>
      <c r="AP46" s="138">
        <f>SUM(AP47:AP51)</f>
        <v>4981356.53</v>
      </c>
      <c r="AR46" s="138">
        <f>SUM(AR47:AR51)</f>
        <v>4964073.53</v>
      </c>
      <c r="AT46" s="138">
        <f>SUM(AT47:AT51)</f>
        <v>4940123.53</v>
      </c>
      <c r="AV46" s="138">
        <f>SUM(AV47:AV51)</f>
        <v>4938904.53</v>
      </c>
      <c r="AX46" s="138" t="e">
        <f>SUM(AX47:AX51)</f>
        <v>#N/A</v>
      </c>
      <c r="AY46" s="138" t="e">
        <f>#N/A</f>
        <v>#N/A</v>
      </c>
      <c r="AZ46" s="138" t="e">
        <f>#N/A</f>
        <v>#N/A</v>
      </c>
      <c r="BA46" s="138" t="e">
        <f>#N/A</f>
        <v>#N/A</v>
      </c>
      <c r="BB46" s="138" t="e">
        <f>#N/A</f>
        <v>#N/A</v>
      </c>
      <c r="BC46" s="138" t="e">
        <f>#N/A</f>
        <v>#N/A</v>
      </c>
      <c r="BD46" s="138" t="e">
        <f>#N/A</f>
        <v>#N/A</v>
      </c>
      <c r="BE46" s="138" t="e">
        <f>#N/A</f>
        <v>#N/A</v>
      </c>
      <c r="BF46" s="138" t="e">
        <f>#N/A</f>
        <v>#N/A</v>
      </c>
      <c r="BG46" s="138" t="e">
        <f>#N/A</f>
        <v>#N/A</v>
      </c>
      <c r="BH46" s="138" t="e">
        <f>#N/A</f>
        <v>#N/A</v>
      </c>
      <c r="BI46" s="138" t="e">
        <f>#N/A</f>
        <v>#N/A</v>
      </c>
      <c r="BJ46" s="138" t="e">
        <f>#N/A</f>
        <v>#N/A</v>
      </c>
    </row>
    <row r="47" spans="3:62" ht="11.25">
      <c r="C47" s="29" t="s">
        <v>178</v>
      </c>
      <c r="F47" s="29" t="s">
        <v>179</v>
      </c>
      <c r="J47" s="133">
        <v>-275</v>
      </c>
      <c r="L47" s="133">
        <v>-275</v>
      </c>
      <c r="N47" s="133">
        <v>-275</v>
      </c>
      <c r="P47" s="133">
        <v>-275</v>
      </c>
      <c r="R47" s="133">
        <v>-275</v>
      </c>
      <c r="T47" s="133">
        <v>-275</v>
      </c>
      <c r="V47" s="133">
        <v>-275</v>
      </c>
      <c r="X47" s="133">
        <v>-275</v>
      </c>
      <c r="Z47" s="133">
        <v>-275</v>
      </c>
      <c r="AB47" s="133">
        <v>-275</v>
      </c>
      <c r="AD47" s="133">
        <v>-275</v>
      </c>
      <c r="AF47" s="133">
        <v>-275</v>
      </c>
      <c r="AH47" s="133">
        <v>-275</v>
      </c>
      <c r="AJ47" s="133">
        <v>-275</v>
      </c>
      <c r="AL47" s="133">
        <v>769</v>
      </c>
      <c r="AN47" s="133">
        <v>768.53</v>
      </c>
      <c r="AP47" s="133">
        <v>768.53</v>
      </c>
      <c r="AR47" s="133">
        <v>768.53</v>
      </c>
      <c r="AT47" s="133">
        <v>768.53</v>
      </c>
      <c r="AV47" s="133">
        <v>-275.47</v>
      </c>
      <c r="AX47" s="133" t="e">
        <f>#N/A</f>
        <v>#N/A</v>
      </c>
      <c r="AY47" s="133" t="e">
        <f>#N/A</f>
        <v>#N/A</v>
      </c>
      <c r="AZ47" s="133" t="e">
        <f>#N/A</f>
        <v>#N/A</v>
      </c>
      <c r="BA47" s="133">
        <v>-275.47</v>
      </c>
      <c r="BB47" s="133" t="e">
        <f>#N/A</f>
        <v>#N/A</v>
      </c>
      <c r="BC47" s="133" t="e">
        <f>#N/A</f>
        <v>#N/A</v>
      </c>
      <c r="BD47" s="133">
        <v>-275.47</v>
      </c>
      <c r="BE47" s="133">
        <v>0</v>
      </c>
      <c r="BF47" s="133">
        <v>0</v>
      </c>
      <c r="BG47" s="133">
        <v>0</v>
      </c>
      <c r="BH47" s="133">
        <v>0</v>
      </c>
      <c r="BI47" s="133">
        <v>0</v>
      </c>
      <c r="BJ47" s="133">
        <v>787570</v>
      </c>
    </row>
    <row r="48" spans="3:62" ht="11.25">
      <c r="C48" s="29" t="s">
        <v>180</v>
      </c>
      <c r="F48" s="29" t="s">
        <v>181</v>
      </c>
      <c r="J48" s="134">
        <v>422643</v>
      </c>
      <c r="L48" s="134">
        <v>422643</v>
      </c>
      <c r="N48" s="134">
        <v>422643</v>
      </c>
      <c r="P48" s="134">
        <v>422643</v>
      </c>
      <c r="R48" s="134">
        <v>422643</v>
      </c>
      <c r="T48" s="134">
        <v>422643</v>
      </c>
      <c r="V48" s="134">
        <v>422643</v>
      </c>
      <c r="X48" s="134">
        <v>422643</v>
      </c>
      <c r="Z48" s="134">
        <v>422643</v>
      </c>
      <c r="AB48" s="134">
        <v>422643</v>
      </c>
      <c r="AD48" s="134">
        <v>422643</v>
      </c>
      <c r="AF48" s="134">
        <v>422643</v>
      </c>
      <c r="AH48" s="134">
        <v>422643</v>
      </c>
      <c r="AJ48" s="134">
        <v>422643</v>
      </c>
      <c r="AL48" s="134">
        <v>422643</v>
      </c>
      <c r="AN48" s="134">
        <v>422643</v>
      </c>
      <c r="AP48" s="134">
        <v>422643</v>
      </c>
      <c r="AR48" s="134">
        <v>422643</v>
      </c>
      <c r="AT48" s="134">
        <v>422643</v>
      </c>
      <c r="AV48" s="134">
        <v>422643</v>
      </c>
      <c r="AX48" s="134" t="e">
        <f>#N/A</f>
        <v>#N/A</v>
      </c>
      <c r="AY48" s="134" t="e">
        <f>#N/A</f>
        <v>#N/A</v>
      </c>
      <c r="AZ48" s="134" t="e">
        <f>#N/A</f>
        <v>#N/A</v>
      </c>
      <c r="BA48" s="134">
        <v>422643</v>
      </c>
      <c r="BB48" s="134" t="e">
        <f>#N/A</f>
        <v>#N/A</v>
      </c>
      <c r="BC48" s="134" t="e">
        <f>#N/A</f>
        <v>#N/A</v>
      </c>
      <c r="BD48" s="134">
        <v>422643</v>
      </c>
      <c r="BE48" s="134">
        <v>422643</v>
      </c>
      <c r="BF48" s="134">
        <v>422643</v>
      </c>
      <c r="BG48" s="134">
        <v>421224.84</v>
      </c>
      <c r="BH48" s="134">
        <v>421224.84</v>
      </c>
      <c r="BI48" s="134">
        <v>420114.84</v>
      </c>
      <c r="BJ48" s="134">
        <v>2250001</v>
      </c>
    </row>
    <row r="49" spans="3:62" ht="11.25">
      <c r="C49" s="29" t="s">
        <v>182</v>
      </c>
      <c r="F49" s="29" t="s">
        <v>183</v>
      </c>
      <c r="J49" s="134">
        <v>-24464</v>
      </c>
      <c r="L49" s="134">
        <v>-24464</v>
      </c>
      <c r="N49" s="134">
        <v>-24464</v>
      </c>
      <c r="P49" s="134">
        <v>-24464</v>
      </c>
      <c r="R49" s="134">
        <v>-24464</v>
      </c>
      <c r="T49" s="134">
        <v>-24464</v>
      </c>
      <c r="V49" s="134">
        <v>-24464</v>
      </c>
      <c r="X49" s="134">
        <v>-24464</v>
      </c>
      <c r="Z49" s="134">
        <v>-24464</v>
      </c>
      <c r="AB49" s="134">
        <v>-24464</v>
      </c>
      <c r="AD49" s="134">
        <v>-24464</v>
      </c>
      <c r="AF49" s="134">
        <v>-24464</v>
      </c>
      <c r="AH49" s="134">
        <v>-24464</v>
      </c>
      <c r="AJ49" s="134">
        <v>-24464</v>
      </c>
      <c r="AL49" s="134">
        <v>-24464</v>
      </c>
      <c r="AN49" s="134">
        <v>-24464</v>
      </c>
      <c r="AP49" s="134">
        <v>-24464</v>
      </c>
      <c r="AR49" s="134">
        <v>-24464</v>
      </c>
      <c r="AT49" s="134">
        <v>-24464</v>
      </c>
      <c r="AV49" s="134">
        <v>-24464</v>
      </c>
      <c r="AX49" s="134" t="e">
        <f>#N/A</f>
        <v>#N/A</v>
      </c>
      <c r="AY49" s="134" t="e">
        <f>#N/A</f>
        <v>#N/A</v>
      </c>
      <c r="AZ49" s="134" t="e">
        <f>#N/A</f>
        <v>#N/A</v>
      </c>
      <c r="BA49" s="134">
        <v>-24464.29</v>
      </c>
      <c r="BB49" s="134" t="e">
        <f>#N/A</f>
        <v>#N/A</v>
      </c>
      <c r="BC49" s="134" t="e">
        <f>#N/A</f>
        <v>#N/A</v>
      </c>
      <c r="BD49" s="134">
        <v>-24464.29</v>
      </c>
      <c r="BE49" s="134">
        <v>0</v>
      </c>
      <c r="BF49" s="134">
        <v>0</v>
      </c>
      <c r="BG49" s="134">
        <v>0</v>
      </c>
      <c r="BH49" s="134">
        <v>0</v>
      </c>
      <c r="BI49" s="134">
        <v>99108.26</v>
      </c>
      <c r="BJ49" s="134">
        <v>98486</v>
      </c>
    </row>
    <row r="50" spans="3:62" ht="11.25">
      <c r="C50" s="29" t="s">
        <v>184</v>
      </c>
      <c r="H50" s="29" t="s">
        <v>185</v>
      </c>
      <c r="J50" s="135">
        <v>5816890.99</v>
      </c>
      <c r="L50" s="135">
        <v>5816890.99</v>
      </c>
      <c r="N50" s="135">
        <v>5720193</v>
      </c>
      <c r="P50" s="135">
        <v>5516523</v>
      </c>
      <c r="R50" s="135">
        <v>5439454</v>
      </c>
      <c r="T50" s="135">
        <v>5332832</v>
      </c>
      <c r="V50" s="135">
        <v>5199588</v>
      </c>
      <c r="X50" s="135">
        <v>5129455</v>
      </c>
      <c r="Z50" s="135">
        <v>5027161</v>
      </c>
      <c r="AB50" s="135">
        <v>4942886</v>
      </c>
      <c r="AD50" s="135">
        <v>4870878</v>
      </c>
      <c r="AF50" s="135">
        <v>4802268</v>
      </c>
      <c r="AH50" s="135">
        <v>4802268</v>
      </c>
      <c r="AJ50" s="135">
        <v>4661145</v>
      </c>
      <c r="AL50" s="135">
        <v>4516347</v>
      </c>
      <c r="AN50" s="135">
        <v>4361885</v>
      </c>
      <c r="AP50" s="135">
        <v>4582409</v>
      </c>
      <c r="AR50" s="135">
        <v>4565126</v>
      </c>
      <c r="AT50" s="135">
        <v>4541176</v>
      </c>
      <c r="AV50" s="135">
        <v>4541001</v>
      </c>
      <c r="AX50" s="135">
        <v>4474967</v>
      </c>
      <c r="AY50" s="135">
        <f>AZ50+56742.61</f>
        <v>4453806.029999999</v>
      </c>
      <c r="AZ50" s="135">
        <f>BA50+56742.61</f>
        <v>4397063.419999999</v>
      </c>
      <c r="BA50" s="135">
        <f>BB50+53347.1</f>
        <v>4340320.809999999</v>
      </c>
      <c r="BB50" s="135">
        <f>BC50+97799.37</f>
        <v>4286973.709999999</v>
      </c>
      <c r="BC50" s="135">
        <f>BD50+77936.28</f>
        <v>4189174.3399999994</v>
      </c>
      <c r="BD50" s="135">
        <f>3953995.07+157242.99</f>
        <v>4111238.0599999996</v>
      </c>
      <c r="BE50" s="135">
        <v>3953995.07</v>
      </c>
      <c r="BF50" s="135">
        <v>5221454.79</v>
      </c>
      <c r="BG50" s="135">
        <v>6796758.57</v>
      </c>
      <c r="BH50" s="135">
        <v>6947219.08</v>
      </c>
      <c r="BI50" s="135">
        <v>8833544.94</v>
      </c>
      <c r="BJ50" s="135">
        <v>8953012</v>
      </c>
    </row>
    <row r="52" spans="2:62" ht="11.25">
      <c r="B52" s="29" t="s">
        <v>186</v>
      </c>
      <c r="E52" s="29" t="s">
        <v>187</v>
      </c>
      <c r="J52" s="152">
        <f>+J24-J28-J46</f>
        <v>-6439980.86</v>
      </c>
      <c r="L52" s="152">
        <f>+L24-L28-L46</f>
        <v>-6439980.86</v>
      </c>
      <c r="N52" s="152">
        <f>+N24-N28-N46</f>
        <v>-5966783.29</v>
      </c>
      <c r="P52" s="152">
        <f>+P24-P28-P46</f>
        <v>-5736382</v>
      </c>
      <c r="R52" s="152">
        <f>+R24-R28-R46</f>
        <v>-5686721</v>
      </c>
      <c r="T52" s="152">
        <f>+T24-T28-T46</f>
        <v>-5451013.29</v>
      </c>
      <c r="V52" s="152">
        <f>+V24-V28-V46</f>
        <v>-5209473.29</v>
      </c>
      <c r="X52" s="152">
        <f>+X24-X28-X46</f>
        <v>-5027048</v>
      </c>
      <c r="Z52" s="152">
        <f>+Z24-Z28-Z46</f>
        <v>-4826687</v>
      </c>
      <c r="AB52" s="152">
        <f>+AB24-AB28-AB46</f>
        <v>-4625800</v>
      </c>
      <c r="AD52" s="152">
        <f>+AD24-AD28-AD46</f>
        <v>-4459615</v>
      </c>
      <c r="AF52" s="152">
        <f>+AF24-AF28-AF46</f>
        <v>-4289073</v>
      </c>
      <c r="AH52" s="152">
        <f>+AH24-AH28-AH46</f>
        <v>-4103675.29</v>
      </c>
      <c r="AJ52" s="152">
        <f>+AJ24-AJ28-AJ46</f>
        <v>-3845553.29</v>
      </c>
      <c r="AL52" s="152">
        <f>+AL24-AL28-AL46</f>
        <v>-2143526</v>
      </c>
      <c r="AN52" s="152">
        <f>+AN24-AN28-AN46</f>
        <v>-1863979.71</v>
      </c>
      <c r="AP52" s="152">
        <f>+AP24-AP28-AP46</f>
        <v>-2074341.71</v>
      </c>
      <c r="AR52" s="152">
        <f>+AR24-AR28-AR46</f>
        <v>-2095639.71</v>
      </c>
      <c r="AT52" s="152">
        <f>+AT24-AT28-AT46</f>
        <v>-3122834.71</v>
      </c>
      <c r="AV52" s="152">
        <f>+AV24-AV28-AV46</f>
        <v>-3214741.71</v>
      </c>
      <c r="AX52" s="152" t="e">
        <f>+AX24-AX28-AX46</f>
        <v>#N/A</v>
      </c>
      <c r="AY52" s="152" t="e">
        <f>+AY24-AY28-AY46</f>
        <v>#N/A</v>
      </c>
      <c r="AZ52" s="152" t="e">
        <f>+AZ24-AZ28-AZ46</f>
        <v>#N/A</v>
      </c>
      <c r="BA52" s="152" t="e">
        <f>+BA24-BA28-BA46</f>
        <v>#N/A</v>
      </c>
      <c r="BB52" s="152" t="e">
        <f>+BB24-BB28-BB46</f>
        <v>#N/A</v>
      </c>
      <c r="BC52" s="152" t="e">
        <f>#N/A</f>
        <v>#N/A</v>
      </c>
      <c r="BD52" s="152" t="e">
        <f>#N/A</f>
        <v>#N/A</v>
      </c>
      <c r="BE52" s="152" t="e">
        <f>#N/A</f>
        <v>#N/A</v>
      </c>
      <c r="BF52" s="152" t="e">
        <f>#N/A</f>
        <v>#N/A</v>
      </c>
      <c r="BG52" s="152" t="e">
        <f>#N/A</f>
        <v>#N/A</v>
      </c>
      <c r="BH52" s="153" t="e">
        <f>#N/A</f>
        <v>#N/A</v>
      </c>
      <c r="BI52" s="152">
        <f>-5991729.08-135925.77</f>
        <v>-6127654.85</v>
      </c>
      <c r="BJ52" s="152">
        <v>-4074883</v>
      </c>
    </row>
    <row r="53" spans="10:62" ht="11.25">
      <c r="J53" s="152"/>
      <c r="L53" s="152"/>
      <c r="N53" s="152"/>
      <c r="P53" s="152"/>
      <c r="R53" s="152"/>
      <c r="T53" s="152"/>
      <c r="V53" s="152"/>
      <c r="X53" s="152"/>
      <c r="Z53" s="152"/>
      <c r="AB53" s="152"/>
      <c r="AD53" s="152"/>
      <c r="AF53" s="152"/>
      <c r="AH53" s="152"/>
      <c r="AJ53" s="152"/>
      <c r="AL53" s="152"/>
      <c r="AN53" s="152"/>
      <c r="AP53" s="152"/>
      <c r="AR53" s="152"/>
      <c r="AT53" s="152"/>
      <c r="AV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</row>
    <row r="54" spans="2:62" ht="12" thickBot="1">
      <c r="B54" s="119" t="s">
        <v>188</v>
      </c>
      <c r="J54" s="143">
        <f>SUM(J28,J46,J52)</f>
        <v>2126642.88</v>
      </c>
      <c r="L54" s="143">
        <f>SUM(L28,L46,L52)</f>
        <v>2126642.88</v>
      </c>
      <c r="N54" s="143">
        <f>SUM(N28,N46,N52)</f>
        <v>2274536.71</v>
      </c>
      <c r="P54" s="143">
        <f>SUM(P28,P46,P52)</f>
        <v>2617716</v>
      </c>
      <c r="R54" s="143">
        <f>SUM(R28,R46,R52)</f>
        <v>2617716</v>
      </c>
      <c r="T54" s="143">
        <f>SUM(T28,T46,T52)</f>
        <v>2757296.71</v>
      </c>
      <c r="V54" s="143">
        <f>SUM(V28,V46,V52)</f>
        <v>2896877.71</v>
      </c>
      <c r="X54" s="143">
        <f>SUM(X28,X46,X52)</f>
        <v>3036459</v>
      </c>
      <c r="Z54" s="143">
        <f>SUM(Z28,Z46,Z52)</f>
        <v>3176040</v>
      </c>
      <c r="AB54" s="143">
        <f>SUM(AB28,AB46,AB52)</f>
        <v>3315620</v>
      </c>
      <c r="AD54" s="143">
        <f>SUM(AD28,AD46,AD52)</f>
        <v>3455202</v>
      </c>
      <c r="AF54" s="143">
        <f>SUM(AF28,AF46,AF52)</f>
        <v>3594783</v>
      </c>
      <c r="AH54" s="143">
        <f>SUM(AH28,AH46,AH52)</f>
        <v>3734363.71</v>
      </c>
      <c r="AJ54" s="143">
        <f>SUM(AJ28,AJ46,AJ52)</f>
        <v>3733554.71</v>
      </c>
      <c r="AL54" s="143">
        <f>SUM(AL28,AL46,AL52)</f>
        <v>7782223</v>
      </c>
      <c r="AN54" s="143">
        <f>SUM(AN28,AN46,AN52)</f>
        <v>7921802.820000001</v>
      </c>
      <c r="AP54" s="143">
        <f>SUM(AP28,AP46,AP52)</f>
        <v>7921802.820000001</v>
      </c>
      <c r="AR54" s="143">
        <f>SUM(AR28,AR46,AR52)</f>
        <v>7921802.820000001</v>
      </c>
      <c r="AT54" s="143">
        <f>SUM(AT28,AT46,AT52)</f>
        <v>7921802.820000001</v>
      </c>
      <c r="AV54" s="143">
        <f>SUM(AV28,AV46,AV52)</f>
        <v>7921802.820000001</v>
      </c>
      <c r="AX54" s="143" t="e">
        <f>SUM(AX28,AX46,AX52)</f>
        <v>#N/A</v>
      </c>
      <c r="AY54" s="143" t="e">
        <f>#N/A</f>
        <v>#N/A</v>
      </c>
      <c r="AZ54" s="143" t="e">
        <f>#N/A</f>
        <v>#N/A</v>
      </c>
      <c r="BA54" s="143" t="e">
        <f>#N/A</f>
        <v>#N/A</v>
      </c>
      <c r="BB54" s="143" t="e">
        <f>#N/A</f>
        <v>#N/A</v>
      </c>
      <c r="BC54" s="143" t="e">
        <f>#N/A</f>
        <v>#N/A</v>
      </c>
      <c r="BD54" s="143" t="e">
        <f>#N/A</f>
        <v>#N/A</v>
      </c>
      <c r="BE54" s="143" t="e">
        <f>#N/A</f>
        <v>#N/A</v>
      </c>
      <c r="BF54" s="143" t="e">
        <f>#N/A</f>
        <v>#N/A</v>
      </c>
      <c r="BG54" s="143" t="e">
        <f>#N/A</f>
        <v>#N/A</v>
      </c>
      <c r="BH54" s="143" t="e">
        <f>#N/A</f>
        <v>#N/A</v>
      </c>
      <c r="BI54" s="143" t="e">
        <f>#N/A</f>
        <v>#N/A</v>
      </c>
      <c r="BJ54" s="143" t="e">
        <f>#N/A</f>
        <v>#N/A</v>
      </c>
    </row>
    <row r="55" ht="12" thickTop="1"/>
  </sheetData>
  <sheetProtection/>
  <printOptions/>
  <pageMargins left="0.2755905511811024" right="0.15748031496062992" top="0.5905511811023623" bottom="0.7086614173228347" header="0.2362204724409449" footer="0.1968503937007874"/>
  <pageSetup horizontalDpi="600" verticalDpi="600" orientation="portrait" paperSize="9" r:id="rId1"/>
  <colBreaks count="1" manualBreakCount="1">
    <brk id="4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2:S54"/>
  <sheetViews>
    <sheetView zoomScalePageLayoutView="0" workbookViewId="0" topLeftCell="P25">
      <selection activeCell="O57" sqref="O57"/>
    </sheetView>
  </sheetViews>
  <sheetFormatPr defaultColWidth="9.140625" defaultRowHeight="12.75"/>
  <cols>
    <col min="1" max="1" width="1.8515625" style="0" customWidth="1"/>
    <col min="7" max="7" width="15.8515625" style="0" customWidth="1"/>
    <col min="8" max="8" width="9.421875" style="0" customWidth="1"/>
    <col min="9" max="9" width="8.140625" style="0" customWidth="1"/>
    <col min="10" max="10" width="4.28125" style="0" customWidth="1"/>
    <col min="11" max="15" width="19.57421875" style="75" bestFit="1" customWidth="1"/>
    <col min="16" max="16" width="19.7109375" style="75" bestFit="1" customWidth="1"/>
    <col min="17" max="17" width="1.7109375" style="0" customWidth="1"/>
    <col min="19" max="19" width="11.421875" style="0" bestFit="1" customWidth="1"/>
  </cols>
  <sheetData>
    <row r="2" spans="7:16" ht="12.75">
      <c r="G2" s="1" t="s">
        <v>120</v>
      </c>
      <c r="K2" s="66"/>
      <c r="L2" s="66"/>
      <c r="M2" s="66"/>
      <c r="N2" s="66"/>
      <c r="O2" s="66"/>
      <c r="P2" s="66"/>
    </row>
    <row r="3" spans="11:16" ht="12.75">
      <c r="K3" s="67">
        <v>2009</v>
      </c>
      <c r="L3" s="67">
        <v>2008</v>
      </c>
      <c r="M3" s="67">
        <v>2007</v>
      </c>
      <c r="N3" s="67">
        <v>2006</v>
      </c>
      <c r="O3" s="67">
        <v>2005</v>
      </c>
      <c r="P3" s="67">
        <v>2004</v>
      </c>
    </row>
    <row r="4" spans="2:16" ht="12.75">
      <c r="B4" t="s">
        <v>121</v>
      </c>
      <c r="K4" s="66" t="e">
        <f>L24</f>
        <v>#N/A</v>
      </c>
      <c r="L4" s="66" t="e">
        <f>M24</f>
        <v>#N/A</v>
      </c>
      <c r="M4" s="66" t="e">
        <f>N24</f>
        <v>#N/A</v>
      </c>
      <c r="N4" s="66" t="e">
        <f>O24</f>
        <v>#N/A</v>
      </c>
      <c r="O4" s="66">
        <v>21532853.53</v>
      </c>
      <c r="P4" s="66">
        <v>28850223</v>
      </c>
    </row>
    <row r="5" spans="2:16" ht="12.75">
      <c r="B5" t="s">
        <v>122</v>
      </c>
      <c r="K5" s="66">
        <v>0</v>
      </c>
      <c r="L5" s="66">
        <v>0</v>
      </c>
      <c r="M5" s="68">
        <v>200533.23</v>
      </c>
      <c r="N5" s="66">
        <v>0</v>
      </c>
      <c r="O5" s="66">
        <v>0</v>
      </c>
      <c r="P5" s="66">
        <v>68099</v>
      </c>
    </row>
    <row r="6" spans="2:16" s="69" customFormat="1" ht="12.75">
      <c r="B6" s="69" t="s">
        <v>123</v>
      </c>
      <c r="K6" s="70"/>
      <c r="L6" s="70"/>
      <c r="M6" s="71">
        <f>37895.49-M5</f>
        <v>-162637.74000000002</v>
      </c>
      <c r="N6" s="70"/>
      <c r="O6" s="70"/>
      <c r="P6" s="70"/>
    </row>
    <row r="7" spans="2:19" ht="12.75">
      <c r="B7" t="s">
        <v>124</v>
      </c>
      <c r="K7" s="66" t="e">
        <f>#N/A</f>
        <v>#N/A</v>
      </c>
      <c r="L7" s="66" t="e">
        <f>#N/A</f>
        <v>#N/A</v>
      </c>
      <c r="M7" s="66" t="e">
        <f>#N/A</f>
        <v>#N/A</v>
      </c>
      <c r="N7" s="66" t="e">
        <f>#N/A</f>
        <v>#N/A</v>
      </c>
      <c r="O7" s="66" t="e">
        <f>#N/A</f>
        <v>#N/A</v>
      </c>
      <c r="P7" s="66" t="e">
        <f>#N/A</f>
        <v>#N/A</v>
      </c>
      <c r="S7" s="72">
        <v>492262</v>
      </c>
    </row>
    <row r="8" spans="2:19" ht="12.75">
      <c r="B8" t="s">
        <v>125</v>
      </c>
      <c r="F8" t="s">
        <v>126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553262</v>
      </c>
      <c r="Q8" s="74"/>
      <c r="S8" s="75"/>
    </row>
    <row r="9" spans="2:17" ht="12.75">
      <c r="B9" t="s">
        <v>127</v>
      </c>
      <c r="K9" s="76" t="e">
        <f>#N/A</f>
        <v>#N/A</v>
      </c>
      <c r="L9" s="76" t="e">
        <f>#N/A</f>
        <v>#N/A</v>
      </c>
      <c r="M9" s="76" t="e">
        <f>#N/A</f>
        <v>#N/A</v>
      </c>
      <c r="N9" s="76" t="e">
        <f>#N/A</f>
        <v>#N/A</v>
      </c>
      <c r="O9" s="76" t="e">
        <f>#N/A</f>
        <v>#N/A</v>
      </c>
      <c r="P9" s="76" t="e">
        <f>#N/A</f>
        <v>#N/A</v>
      </c>
      <c r="Q9" s="77"/>
    </row>
    <row r="10" spans="2:17" ht="12.75">
      <c r="B10" t="s">
        <v>128</v>
      </c>
      <c r="F10" t="s">
        <v>129</v>
      </c>
      <c r="H10" t="s">
        <v>130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135785</v>
      </c>
      <c r="Q10" s="77"/>
    </row>
    <row r="11" spans="2:17" ht="12.75">
      <c r="B11" t="s">
        <v>131</v>
      </c>
      <c r="F11" t="s">
        <v>129</v>
      </c>
      <c r="H11" t="s">
        <v>132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77914</v>
      </c>
      <c r="Q11" s="77"/>
    </row>
    <row r="12" spans="2:17" ht="12.75">
      <c r="B12" t="s">
        <v>133</v>
      </c>
      <c r="F12" t="s">
        <v>129</v>
      </c>
      <c r="H12" t="s">
        <v>134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12060</v>
      </c>
      <c r="Q12" s="77"/>
    </row>
    <row r="13" spans="2:17" ht="12.75">
      <c r="B13" t="s">
        <v>135</v>
      </c>
      <c r="F13" t="s">
        <v>136</v>
      </c>
      <c r="H13" t="s">
        <v>137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-286759</v>
      </c>
      <c r="Q13" s="77"/>
    </row>
    <row r="14" spans="11:17" ht="12.75">
      <c r="K14" s="81"/>
      <c r="L14" s="81"/>
      <c r="M14" s="81"/>
      <c r="N14" s="81"/>
      <c r="O14" s="81"/>
      <c r="P14" s="81"/>
      <c r="Q14" s="82"/>
    </row>
    <row r="15" spans="2:14" ht="12.75">
      <c r="B15" t="s">
        <v>138</v>
      </c>
      <c r="H15" t="s">
        <v>139</v>
      </c>
      <c r="K15" s="75">
        <v>0</v>
      </c>
      <c r="L15" s="75">
        <v>0</v>
      </c>
      <c r="M15" s="75">
        <v>0</v>
      </c>
      <c r="N15" s="75">
        <v>1543328.58</v>
      </c>
    </row>
    <row r="16" spans="2:14" ht="12.75">
      <c r="B16" s="69" t="s">
        <v>140</v>
      </c>
      <c r="C16" s="1"/>
      <c r="D16" s="1"/>
      <c r="E16" s="1"/>
      <c r="F16" s="69" t="s">
        <v>141</v>
      </c>
      <c r="G16" s="1"/>
      <c r="H16" s="1"/>
      <c r="I16" s="1"/>
      <c r="J16" s="1"/>
      <c r="K16" s="83"/>
      <c r="L16" s="83"/>
      <c r="M16" s="83"/>
      <c r="N16" s="84">
        <v>-1188872.4</v>
      </c>
    </row>
    <row r="17" spans="2:14" ht="12.75">
      <c r="B17" s="69" t="s">
        <v>142</v>
      </c>
      <c r="C17" s="1"/>
      <c r="D17" s="1"/>
      <c r="E17" s="1"/>
      <c r="F17" s="69" t="s">
        <v>141</v>
      </c>
      <c r="G17" s="1"/>
      <c r="H17" s="1"/>
      <c r="I17" s="1"/>
      <c r="J17" s="1"/>
      <c r="K17" s="83"/>
      <c r="L17" s="83"/>
      <c r="M17" s="85">
        <v>-4979691.81</v>
      </c>
      <c r="N17" s="84"/>
    </row>
    <row r="18" spans="2:14" ht="12.75">
      <c r="B18" s="69" t="s">
        <v>143</v>
      </c>
      <c r="C18" s="1"/>
      <c r="D18" s="1"/>
      <c r="E18" s="1"/>
      <c r="F18" s="69" t="s">
        <v>144</v>
      </c>
      <c r="G18" s="1"/>
      <c r="H18" s="1"/>
      <c r="I18" s="1"/>
      <c r="J18" s="1"/>
      <c r="K18" s="85"/>
      <c r="L18" s="85">
        <v>1526315.32</v>
      </c>
      <c r="M18" s="85"/>
      <c r="N18" s="84"/>
    </row>
    <row r="19" spans="2:14" ht="12.75">
      <c r="B19" s="39" t="s">
        <v>145</v>
      </c>
      <c r="C19" s="39"/>
      <c r="D19" s="39"/>
      <c r="E19" s="39"/>
      <c r="F19" s="39"/>
      <c r="G19" s="39"/>
      <c r="H19" s="39"/>
      <c r="I19" s="39"/>
      <c r="J19" s="39"/>
      <c r="K19" s="86">
        <f>-4375113.22+4006631.69</f>
        <v>-368481.5299999998</v>
      </c>
      <c r="L19" s="85"/>
      <c r="M19" s="85"/>
      <c r="N19" s="84"/>
    </row>
    <row r="20" spans="2:16" ht="12.75">
      <c r="B20" t="s">
        <v>146</v>
      </c>
      <c r="K20" s="66">
        <v>0</v>
      </c>
      <c r="L20" s="66">
        <v>0</v>
      </c>
      <c r="M20" s="66">
        <v>0</v>
      </c>
      <c r="N20" s="66">
        <v>0</v>
      </c>
      <c r="O20" s="87">
        <v>-3098042.27</v>
      </c>
      <c r="P20" s="66">
        <v>-6639613</v>
      </c>
    </row>
    <row r="21" spans="2:16" ht="12.75">
      <c r="B21" t="s">
        <v>147</v>
      </c>
      <c r="E21" t="s">
        <v>148</v>
      </c>
      <c r="H21" t="s">
        <v>139</v>
      </c>
      <c r="K21" s="66">
        <v>0</v>
      </c>
      <c r="L21" s="66">
        <v>0</v>
      </c>
      <c r="M21" s="66">
        <v>0</v>
      </c>
      <c r="N21" s="66">
        <f>6747047-N22</f>
        <v>4298510.68</v>
      </c>
      <c r="O21" s="88">
        <v>-6747047</v>
      </c>
      <c r="P21" s="66"/>
    </row>
    <row r="22" spans="2:16" ht="12.75">
      <c r="B22" t="s">
        <v>147</v>
      </c>
      <c r="E22" t="s">
        <v>149</v>
      </c>
      <c r="K22" s="66">
        <v>0</v>
      </c>
      <c r="L22" s="66">
        <v>0</v>
      </c>
      <c r="M22" s="66">
        <v>993682.56</v>
      </c>
      <c r="N22" s="66">
        <v>2448536.32</v>
      </c>
      <c r="O22" s="87">
        <v>-6533856.07</v>
      </c>
      <c r="P22" s="66"/>
    </row>
    <row r="23" spans="2:16" ht="12.75">
      <c r="B23" t="s">
        <v>18</v>
      </c>
      <c r="D23" t="s">
        <v>150</v>
      </c>
      <c r="K23" s="66"/>
      <c r="L23" s="66"/>
      <c r="M23" s="66"/>
      <c r="N23" s="66"/>
      <c r="O23" s="88">
        <v>-1543328.58</v>
      </c>
      <c r="P23" s="66">
        <v>-1238117</v>
      </c>
    </row>
    <row r="24" spans="11:16" ht="16.5" thickBot="1">
      <c r="K24" s="89" t="e">
        <f>SUM(K4:K23)</f>
        <v>#N/A</v>
      </c>
      <c r="L24" s="89" t="e">
        <f>SUM(L4:L23)</f>
        <v>#N/A</v>
      </c>
      <c r="M24" s="89" t="e">
        <f>SUM(M4:M23)</f>
        <v>#N/A</v>
      </c>
      <c r="N24" s="89" t="e">
        <f>SUM(N4:N23)</f>
        <v>#N/A</v>
      </c>
      <c r="O24" s="89" t="e">
        <f>SUM(O4:O23)</f>
        <v>#N/A</v>
      </c>
      <c r="P24" s="90" t="e">
        <f>SUM(P4,P5,P7,P20,P23)</f>
        <v>#N/A</v>
      </c>
    </row>
    <row r="25" spans="2:16" ht="13.5" thickTop="1">
      <c r="B25" t="s">
        <v>151</v>
      </c>
      <c r="K25" s="66"/>
      <c r="L25" s="66"/>
      <c r="M25" s="66"/>
      <c r="N25" s="66"/>
      <c r="O25" s="66"/>
      <c r="P25" s="66"/>
    </row>
    <row r="26" spans="11:16" ht="12.75">
      <c r="K26" s="66"/>
      <c r="L26" s="66"/>
      <c r="M26" s="66"/>
      <c r="N26" s="66"/>
      <c r="O26" s="66"/>
      <c r="P26" s="66"/>
    </row>
    <row r="27" spans="11:16" ht="12.75">
      <c r="K27" s="66"/>
      <c r="L27" s="66"/>
      <c r="M27" s="66"/>
      <c r="N27" s="66"/>
      <c r="O27" s="66"/>
      <c r="P27" s="66"/>
    </row>
    <row r="28" spans="2:16" s="1" customFormat="1" ht="12.75">
      <c r="B28" s="1" t="s">
        <v>152</v>
      </c>
      <c r="K28" s="83" t="e">
        <f>#N/A</f>
        <v>#N/A</v>
      </c>
      <c r="L28" s="83" t="e">
        <f>#N/A</f>
        <v>#N/A</v>
      </c>
      <c r="M28" s="83" t="e">
        <f>#N/A</f>
        <v>#N/A</v>
      </c>
      <c r="N28" s="83" t="e">
        <f>#N/A</f>
        <v>#N/A</v>
      </c>
      <c r="O28" s="83" t="e">
        <f>#N/A</f>
        <v>#N/A</v>
      </c>
      <c r="P28" s="83" t="e">
        <f>#N/A</f>
        <v>#N/A</v>
      </c>
    </row>
    <row r="29" spans="11:17" ht="12.75">
      <c r="K29" s="91"/>
      <c r="L29" s="91"/>
      <c r="M29" s="91"/>
      <c r="N29" s="91"/>
      <c r="O29" s="91"/>
      <c r="P29" s="91"/>
      <c r="Q29" s="74"/>
    </row>
    <row r="30" spans="2:17" ht="12.75">
      <c r="B30" t="s">
        <v>153</v>
      </c>
      <c r="K30" s="75">
        <f>SUM(K31:K36)</f>
        <v>3762089.4699999997</v>
      </c>
      <c r="L30" s="75">
        <f>SUM(L31:L36)</f>
        <v>3910764.53</v>
      </c>
      <c r="M30" s="75">
        <f>SUM(M31:M36)</f>
        <v>2617707.5999999996</v>
      </c>
      <c r="N30" s="75">
        <f>SUM(N31:N36)</f>
        <v>2854357.29</v>
      </c>
      <c r="O30" s="75">
        <f>SUM(O31:O36)</f>
        <v>90315.68000000017</v>
      </c>
      <c r="P30" s="75">
        <f>SUM(P32:P36)</f>
        <v>6884556.45</v>
      </c>
      <c r="Q30" s="77"/>
    </row>
    <row r="31" spans="3:17" s="92" customFormat="1" ht="12.75">
      <c r="C31" s="92" t="s">
        <v>147</v>
      </c>
      <c r="E31" s="92" t="s">
        <v>154</v>
      </c>
      <c r="K31" s="93">
        <v>-999696</v>
      </c>
      <c r="L31" s="93">
        <v>-1271067</v>
      </c>
      <c r="M31" s="93">
        <v>-3091637.19</v>
      </c>
      <c r="N31" s="93">
        <v>-4085319.75</v>
      </c>
      <c r="O31" s="93">
        <v>-6533856.07</v>
      </c>
      <c r="P31" s="93"/>
      <c r="Q31" s="94"/>
    </row>
    <row r="32" spans="3:17" ht="12.75">
      <c r="C32" t="s">
        <v>82</v>
      </c>
      <c r="D32" t="s">
        <v>155</v>
      </c>
      <c r="F32" t="s">
        <v>156</v>
      </c>
      <c r="I32" t="s">
        <v>157</v>
      </c>
      <c r="K32" s="78">
        <v>1637437.46</v>
      </c>
      <c r="L32" s="78">
        <v>1840478.93</v>
      </c>
      <c r="M32" s="78">
        <v>2140358.76</v>
      </c>
      <c r="N32" s="78">
        <v>3239958.18</v>
      </c>
      <c r="O32" s="78">
        <v>2713088.89</v>
      </c>
      <c r="P32" s="78">
        <v>2892260.45</v>
      </c>
      <c r="Q32" s="77"/>
    </row>
    <row r="33" spans="3:17" ht="12.75">
      <c r="C33" t="s">
        <v>158</v>
      </c>
      <c r="F33" t="s">
        <v>159</v>
      </c>
      <c r="I33" t="s">
        <v>160</v>
      </c>
      <c r="K33" s="79">
        <v>54610</v>
      </c>
      <c r="L33" s="79">
        <v>81166</v>
      </c>
      <c r="M33" s="79">
        <v>107491</v>
      </c>
      <c r="N33" s="79"/>
      <c r="O33" s="79"/>
      <c r="P33" s="79"/>
      <c r="Q33" s="77"/>
    </row>
    <row r="34" spans="3:17" ht="12.75">
      <c r="C34" t="s">
        <v>161</v>
      </c>
      <c r="F34" t="s">
        <v>162</v>
      </c>
      <c r="I34" t="s">
        <v>163</v>
      </c>
      <c r="K34" s="79">
        <v>1575.74</v>
      </c>
      <c r="L34" s="79">
        <v>1754.35</v>
      </c>
      <c r="M34" s="79">
        <v>2368</v>
      </c>
      <c r="N34" s="79">
        <v>6438.69</v>
      </c>
      <c r="O34" s="79">
        <v>7272.19</v>
      </c>
      <c r="P34" s="79">
        <v>7985.69</v>
      </c>
      <c r="Q34" s="77"/>
    </row>
    <row r="35" spans="3:17" ht="12.75">
      <c r="C35" t="s">
        <v>82</v>
      </c>
      <c r="D35" t="s">
        <v>164</v>
      </c>
      <c r="F35" t="s">
        <v>165</v>
      </c>
      <c r="I35" t="s">
        <v>166</v>
      </c>
      <c r="K35" s="79">
        <v>135302.1</v>
      </c>
      <c r="L35" s="79">
        <v>162053.23</v>
      </c>
      <c r="M35" s="79">
        <v>200855.52</v>
      </c>
      <c r="N35" s="79">
        <v>271690.68</v>
      </c>
      <c r="O35" s="79">
        <v>297870.28</v>
      </c>
      <c r="P35" s="79">
        <v>358749.4</v>
      </c>
      <c r="Q35" s="77"/>
    </row>
    <row r="36" spans="3:17" ht="12.75">
      <c r="C36" t="s">
        <v>82</v>
      </c>
      <c r="D36" t="s">
        <v>167</v>
      </c>
      <c r="F36" t="s">
        <v>168</v>
      </c>
      <c r="I36" t="s">
        <v>169</v>
      </c>
      <c r="K36" s="80">
        <v>2932860.17</v>
      </c>
      <c r="L36" s="80">
        <v>3096379.02</v>
      </c>
      <c r="M36" s="80">
        <v>3258271.51</v>
      </c>
      <c r="N36" s="80">
        <v>3421589.49</v>
      </c>
      <c r="O36" s="80">
        <v>3605940.39</v>
      </c>
      <c r="P36" s="80">
        <v>3625560.91</v>
      </c>
      <c r="Q36" s="77"/>
    </row>
    <row r="37" ht="12.75">
      <c r="Q37" s="77"/>
    </row>
    <row r="38" spans="2:17" ht="12.75">
      <c r="B38" t="s">
        <v>170</v>
      </c>
      <c r="K38" s="75">
        <f>SUM(K39:K43)</f>
        <v>2350642.0599999996</v>
      </c>
      <c r="L38" s="75">
        <f>SUM(L39:L43)</f>
        <v>1984368.7299999995</v>
      </c>
      <c r="M38" s="75">
        <f>SUM(M39:M43)</f>
        <v>4354400.68</v>
      </c>
      <c r="N38" s="75">
        <f>SUM(N39:N43)</f>
        <v>212267.83000000007</v>
      </c>
      <c r="O38" s="75">
        <f>SUM(O39:O43)</f>
        <v>295150.74</v>
      </c>
      <c r="P38" s="75">
        <f>SUM(P40:P43)</f>
        <v>6634111.75</v>
      </c>
      <c r="Q38" s="77"/>
    </row>
    <row r="39" spans="3:17" s="92" customFormat="1" ht="12.75">
      <c r="C39" s="92" t="s">
        <v>171</v>
      </c>
      <c r="F39" s="92" t="s">
        <v>197</v>
      </c>
      <c r="K39" s="93">
        <v>-2178321</v>
      </c>
      <c r="L39" s="93">
        <v>-2657133</v>
      </c>
      <c r="M39" s="93">
        <v>-1245733</v>
      </c>
      <c r="N39" s="93">
        <v>-6503615.06</v>
      </c>
      <c r="O39" s="93">
        <v>-6747047</v>
      </c>
      <c r="P39" s="93"/>
      <c r="Q39" s="94"/>
    </row>
    <row r="40" spans="3:17" ht="12.75">
      <c r="C40" t="s">
        <v>155</v>
      </c>
      <c r="F40" t="s">
        <v>172</v>
      </c>
      <c r="I40" t="s">
        <v>157</v>
      </c>
      <c r="K40" s="78">
        <v>4236361.3</v>
      </c>
      <c r="L40" s="78">
        <v>4342346.77</v>
      </c>
      <c r="M40" s="78">
        <v>5206032.08</v>
      </c>
      <c r="N40" s="78">
        <v>5801746.43</v>
      </c>
      <c r="O40" s="78">
        <v>5522443.21</v>
      </c>
      <c r="P40" s="78">
        <v>5225580.29</v>
      </c>
      <c r="Q40" s="77"/>
    </row>
    <row r="41" spans="3:17" ht="12.75">
      <c r="C41" t="s">
        <v>161</v>
      </c>
      <c r="F41" t="s">
        <v>173</v>
      </c>
      <c r="I41" t="s">
        <v>163</v>
      </c>
      <c r="K41" s="79">
        <v>447.18</v>
      </c>
      <c r="L41" s="79">
        <v>416.98</v>
      </c>
      <c r="M41" s="79">
        <v>1659.94</v>
      </c>
      <c r="N41" s="79">
        <v>5264.11</v>
      </c>
      <c r="O41" s="79">
        <v>6072.18</v>
      </c>
      <c r="P41" s="79">
        <v>5538.14</v>
      </c>
      <c r="Q41" s="77"/>
    </row>
    <row r="42" spans="3:17" ht="12.75">
      <c r="C42" t="s">
        <v>164</v>
      </c>
      <c r="F42" t="s">
        <v>174</v>
      </c>
      <c r="I42" t="s">
        <v>166</v>
      </c>
      <c r="K42" s="79">
        <v>276246.56</v>
      </c>
      <c r="L42" s="79">
        <v>282423.57</v>
      </c>
      <c r="M42" s="79">
        <v>370898.52</v>
      </c>
      <c r="N42" s="79">
        <v>888657.86</v>
      </c>
      <c r="O42" s="79">
        <v>874384.81</v>
      </c>
      <c r="P42" s="79">
        <v>804781.04</v>
      </c>
      <c r="Q42" s="77"/>
    </row>
    <row r="43" spans="3:17" ht="12.75">
      <c r="C43" t="s">
        <v>167</v>
      </c>
      <c r="F43" t="s">
        <v>175</v>
      </c>
      <c r="I43" t="s">
        <v>169</v>
      </c>
      <c r="K43" s="80">
        <v>15908.02</v>
      </c>
      <c r="L43" s="80">
        <v>16314.41</v>
      </c>
      <c r="M43" s="80">
        <v>21543.14</v>
      </c>
      <c r="N43" s="80">
        <v>20214.49</v>
      </c>
      <c r="O43" s="80">
        <v>639297.54</v>
      </c>
      <c r="P43" s="80">
        <v>598212.28</v>
      </c>
      <c r="Q43" s="77"/>
    </row>
    <row r="44" spans="11:17" ht="12.75">
      <c r="K44" s="81"/>
      <c r="L44" s="81"/>
      <c r="M44" s="81"/>
      <c r="N44" s="81"/>
      <c r="O44" s="81"/>
      <c r="P44" s="81"/>
      <c r="Q44" s="82"/>
    </row>
    <row r="45" spans="11:16" ht="12.75">
      <c r="K45" s="66"/>
      <c r="L45" s="66"/>
      <c r="M45" s="66"/>
      <c r="N45" s="66"/>
      <c r="O45" s="66"/>
      <c r="P45" s="66"/>
    </row>
    <row r="46" spans="2:16" s="1" customFormat="1" ht="12.75">
      <c r="B46" s="1" t="s">
        <v>176</v>
      </c>
      <c r="G46" s="1" t="s">
        <v>177</v>
      </c>
      <c r="K46" s="83" t="e">
        <f>#N/A</f>
        <v>#N/A</v>
      </c>
      <c r="L46" s="83" t="e">
        <f>#N/A</f>
        <v>#N/A</v>
      </c>
      <c r="M46" s="83" t="e">
        <f>#N/A</f>
        <v>#N/A</v>
      </c>
      <c r="N46" s="83" t="e">
        <f>#N/A</f>
        <v>#N/A</v>
      </c>
      <c r="O46" s="83" t="e">
        <f>#N/A</f>
        <v>#N/A</v>
      </c>
      <c r="P46" s="83" t="e">
        <f>#N/A</f>
        <v>#N/A</v>
      </c>
    </row>
    <row r="47" spans="3:16" ht="12.75">
      <c r="C47" t="s">
        <v>178</v>
      </c>
      <c r="F47" t="s">
        <v>179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787570</v>
      </c>
    </row>
    <row r="48" spans="3:16" ht="12.75">
      <c r="C48" t="s">
        <v>180</v>
      </c>
      <c r="F48" t="s">
        <v>181</v>
      </c>
      <c r="K48" s="79">
        <v>422643</v>
      </c>
      <c r="L48" s="79">
        <v>422643</v>
      </c>
      <c r="M48" s="79">
        <v>421224.84</v>
      </c>
      <c r="N48" s="79">
        <v>421224.84</v>
      </c>
      <c r="O48" s="79">
        <v>420114.84</v>
      </c>
      <c r="P48" s="79">
        <v>2250001</v>
      </c>
    </row>
    <row r="49" spans="3:16" ht="12.75">
      <c r="C49" t="s">
        <v>182</v>
      </c>
      <c r="F49" t="s">
        <v>183</v>
      </c>
      <c r="K49" s="79">
        <v>0</v>
      </c>
      <c r="L49" s="79">
        <v>0</v>
      </c>
      <c r="M49" s="79">
        <v>0</v>
      </c>
      <c r="N49" s="79">
        <v>0</v>
      </c>
      <c r="O49" s="79">
        <v>99108.26</v>
      </c>
      <c r="P49" s="79">
        <v>98486</v>
      </c>
    </row>
    <row r="50" spans="3:16" ht="12.75">
      <c r="C50" t="s">
        <v>184</v>
      </c>
      <c r="H50" t="s">
        <v>185</v>
      </c>
      <c r="K50" s="80">
        <v>3953995.07</v>
      </c>
      <c r="L50" s="80">
        <v>5221454.79</v>
      </c>
      <c r="M50" s="80">
        <v>6796758.57</v>
      </c>
      <c r="N50" s="80">
        <v>6947219.08</v>
      </c>
      <c r="O50" s="80">
        <v>8833544.94</v>
      </c>
      <c r="P50" s="80">
        <v>8953012</v>
      </c>
    </row>
    <row r="52" spans="2:16" ht="12.75">
      <c r="B52" t="s">
        <v>186</v>
      </c>
      <c r="E52" t="s">
        <v>187</v>
      </c>
      <c r="K52" s="114" t="e">
        <f>+K24-K28-K46</f>
        <v>#N/A</v>
      </c>
      <c r="L52" s="114" t="e">
        <f>+L24-L28-L46</f>
        <v>#N/A</v>
      </c>
      <c r="M52" s="114" t="e">
        <f>+M24-M28-M46</f>
        <v>#N/A</v>
      </c>
      <c r="N52" s="96" t="e">
        <f>+N24-N28-N46</f>
        <v>#N/A</v>
      </c>
      <c r="O52" s="95">
        <f>-5991729.08-135925.77</f>
        <v>-6127654.85</v>
      </c>
      <c r="P52" s="95">
        <v>-4074883</v>
      </c>
    </row>
    <row r="53" spans="11:16" ht="12.75">
      <c r="K53" s="95"/>
      <c r="L53" s="95"/>
      <c r="M53" s="95"/>
      <c r="N53" s="95"/>
      <c r="O53" s="95"/>
      <c r="P53" s="95"/>
    </row>
    <row r="54" spans="2:16" ht="13.5" thickBot="1">
      <c r="B54" s="1" t="s">
        <v>188</v>
      </c>
      <c r="K54" s="90" t="e">
        <f>#N/A</f>
        <v>#N/A</v>
      </c>
      <c r="L54" s="90" t="e">
        <f>#N/A</f>
        <v>#N/A</v>
      </c>
      <c r="M54" s="90" t="e">
        <f>#N/A</f>
        <v>#N/A</v>
      </c>
      <c r="N54" s="90" t="e">
        <f>#N/A</f>
        <v>#N/A</v>
      </c>
      <c r="O54" s="90" t="e">
        <f>#N/A</f>
        <v>#N/A</v>
      </c>
      <c r="P54" s="90" t="e">
        <f>#N/A</f>
        <v>#N/A</v>
      </c>
    </row>
    <row r="55" ht="13.5" thickTop="1"/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5" sqref="B14:B15"/>
    </sheetView>
  </sheetViews>
  <sheetFormatPr defaultColWidth="9.140625" defaultRowHeight="12.75"/>
  <cols>
    <col min="1" max="1" width="17.7109375" style="0" bestFit="1" customWidth="1"/>
    <col min="2" max="2" width="10.8515625" style="0" bestFit="1" customWidth="1"/>
    <col min="3" max="3" width="11.28125" style="0" bestFit="1" customWidth="1"/>
    <col min="4" max="4" width="12.00390625" style="0" bestFit="1" customWidth="1"/>
    <col min="5" max="5" width="11.28125" style="0" bestFit="1" customWidth="1"/>
  </cols>
  <sheetData>
    <row r="1" spans="2:5" ht="12.75">
      <c r="B1" s="7" t="s">
        <v>4</v>
      </c>
      <c r="C1" s="8" t="s">
        <v>17</v>
      </c>
      <c r="D1" s="8" t="s">
        <v>18</v>
      </c>
      <c r="E1" s="8" t="s">
        <v>4</v>
      </c>
    </row>
    <row r="2" spans="2:5" ht="12.75">
      <c r="B2" s="9" t="s">
        <v>19</v>
      </c>
      <c r="C2" s="10" t="s">
        <v>20</v>
      </c>
      <c r="D2" s="10" t="s">
        <v>20</v>
      </c>
      <c r="E2" s="10" t="s">
        <v>16</v>
      </c>
    </row>
    <row r="3" spans="2:5" ht="12.75">
      <c r="B3" s="11"/>
      <c r="C3" s="12"/>
      <c r="D3" s="12"/>
      <c r="E3" s="12"/>
    </row>
    <row r="4" spans="1:5" ht="12.75">
      <c r="A4" t="s">
        <v>21</v>
      </c>
      <c r="B4" s="13">
        <v>6201620</v>
      </c>
      <c r="C4" s="14">
        <v>3590</v>
      </c>
      <c r="D4" s="14">
        <v>-3012480</v>
      </c>
      <c r="E4" s="14">
        <f>SUM(B4:D4)</f>
        <v>3192730</v>
      </c>
    </row>
    <row r="5" spans="1:5" ht="12.75">
      <c r="A5" t="s">
        <v>22</v>
      </c>
      <c r="B5" s="13">
        <v>0</v>
      </c>
      <c r="C5" s="14">
        <v>12506124</v>
      </c>
      <c r="D5" s="14">
        <v>-11132637</v>
      </c>
      <c r="E5" s="14">
        <f>SUM(B5:D5)</f>
        <v>1373487</v>
      </c>
    </row>
    <row r="6" spans="1:5" ht="12.75">
      <c r="A6" t="s">
        <v>23</v>
      </c>
      <c r="B6" s="13">
        <v>-1340670</v>
      </c>
      <c r="C6" s="14">
        <v>7776841</v>
      </c>
      <c r="D6" s="14">
        <v>-921969</v>
      </c>
      <c r="E6" s="14">
        <f>SUM(B6:D6)</f>
        <v>5514202</v>
      </c>
    </row>
    <row r="7" spans="1:5" ht="12.75">
      <c r="A7" t="s">
        <v>24</v>
      </c>
      <c r="B7" s="13">
        <v>0</v>
      </c>
      <c r="C7" s="14">
        <v>18540402</v>
      </c>
      <c r="D7" s="14">
        <v>-18213221</v>
      </c>
      <c r="E7" s="14">
        <f>SUM(B7:D7)</f>
        <v>327181</v>
      </c>
    </row>
    <row r="8" spans="1:5" ht="13.5" thickBot="1">
      <c r="A8" s="1" t="s">
        <v>9</v>
      </c>
      <c r="B8" s="15">
        <f>SUM(B4:B7)</f>
        <v>4860950</v>
      </c>
      <c r="C8" s="16">
        <f>SUM(C4:C7)</f>
        <v>38826957</v>
      </c>
      <c r="D8" s="16">
        <f>SUM(D4:D7)</f>
        <v>-33280307</v>
      </c>
      <c r="E8" s="16">
        <f>SUM(E4:E7)</f>
        <v>10407600</v>
      </c>
    </row>
    <row r="9" ht="13.5" thickTop="1"/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673"/>
  <sheetViews>
    <sheetView zoomScalePageLayoutView="0" workbookViewId="0" topLeftCell="A665">
      <selection activeCell="I668" sqref="I668"/>
    </sheetView>
  </sheetViews>
  <sheetFormatPr defaultColWidth="9.140625" defaultRowHeight="12.75"/>
  <cols>
    <col min="1" max="1" width="4.421875" style="18" customWidth="1"/>
    <col min="2" max="2" width="16.8515625" style="18" customWidth="1"/>
    <col min="3" max="3" width="9.8515625" style="19" bestFit="1" customWidth="1"/>
    <col min="4" max="4" width="12.421875" style="19" bestFit="1" customWidth="1"/>
    <col min="5" max="5" width="15.421875" style="20" bestFit="1" customWidth="1"/>
    <col min="6" max="6" width="11.421875" style="20" bestFit="1" customWidth="1"/>
    <col min="7" max="7" width="15.421875" style="20" bestFit="1" customWidth="1"/>
    <col min="8" max="8" width="10.28125" style="20" customWidth="1"/>
    <col min="9" max="9" width="13.57421875" style="20" customWidth="1"/>
    <col min="10" max="10" width="12.8515625" style="20" customWidth="1"/>
    <col min="11" max="16384" width="9.140625" style="18" customWidth="1"/>
  </cols>
  <sheetData>
    <row r="3" spans="2:10" ht="12.75">
      <c r="B3" s="39"/>
      <c r="C3" s="160">
        <v>41821</v>
      </c>
      <c r="D3" s="160">
        <v>41821</v>
      </c>
      <c r="E3" s="161" t="s">
        <v>361</v>
      </c>
      <c r="F3" s="162" t="s">
        <v>92</v>
      </c>
      <c r="G3" s="161" t="str">
        <f>E3</f>
        <v>Till 30-04-2015</v>
      </c>
      <c r="H3" s="163"/>
      <c r="I3" s="161" t="str">
        <f>E3</f>
        <v>Till 30-04-2015</v>
      </c>
      <c r="J3" s="161" t="s">
        <v>362</v>
      </c>
    </row>
    <row r="4" spans="2:10" ht="12.75">
      <c r="B4" s="39"/>
      <c r="C4" s="164"/>
      <c r="D4" s="164"/>
      <c r="E4" s="165"/>
      <c r="F4" s="165"/>
      <c r="G4" s="165"/>
      <c r="H4" s="237" t="s">
        <v>344</v>
      </c>
      <c r="I4" s="165"/>
      <c r="J4" s="165"/>
    </row>
    <row r="5" spans="2:10" ht="12.75">
      <c r="B5" s="166" t="s">
        <v>47</v>
      </c>
      <c r="C5" s="167">
        <v>20304954.94</v>
      </c>
      <c r="D5" s="167">
        <v>-6693.91</v>
      </c>
      <c r="E5" s="168">
        <f>126001320.4+6693.91</f>
        <v>126008014.31</v>
      </c>
      <c r="F5" s="168">
        <v>0</v>
      </c>
      <c r="G5" s="168">
        <f>-76858763.93-41185876.49</f>
        <v>-118044640.42000002</v>
      </c>
      <c r="H5" s="168">
        <v>0</v>
      </c>
      <c r="I5" s="168">
        <v>0</v>
      </c>
      <c r="J5" s="168">
        <f aca="true" t="shared" si="0" ref="J5:J10">C5+D5+E5+F5+M5+G5+I5</f>
        <v>28261634.919999987</v>
      </c>
    </row>
    <row r="6" spans="2:10" ht="12.75">
      <c r="B6" s="166" t="s">
        <v>48</v>
      </c>
      <c r="C6" s="167">
        <v>27495500.16</v>
      </c>
      <c r="D6" s="167">
        <v>-2083764.84</v>
      </c>
      <c r="E6" s="168">
        <f>51210465.02+1959514.49</f>
        <v>53169979.510000005</v>
      </c>
      <c r="F6" s="168"/>
      <c r="G6" s="168">
        <f>-42791268.02-191867.8</f>
        <v>-42983135.82</v>
      </c>
      <c r="H6" s="168"/>
      <c r="I6" s="167">
        <v>727780.19</v>
      </c>
      <c r="J6" s="168">
        <f t="shared" si="0"/>
        <v>36326359.20000001</v>
      </c>
    </row>
    <row r="7" spans="2:10" ht="12.75">
      <c r="B7" s="166" t="s">
        <v>49</v>
      </c>
      <c r="C7" s="167">
        <v>3004</v>
      </c>
      <c r="D7" s="167"/>
      <c r="E7" s="168">
        <v>0</v>
      </c>
      <c r="F7" s="168"/>
      <c r="G7" s="168">
        <v>0</v>
      </c>
      <c r="H7" s="168">
        <v>0</v>
      </c>
      <c r="I7" s="167">
        <v>0</v>
      </c>
      <c r="J7" s="168">
        <f t="shared" si="0"/>
        <v>3004</v>
      </c>
    </row>
    <row r="8" spans="2:10" ht="12.75">
      <c r="B8" s="166" t="s">
        <v>50</v>
      </c>
      <c r="C8" s="167">
        <v>1518294.13</v>
      </c>
      <c r="D8" s="167">
        <v>-422643</v>
      </c>
      <c r="E8" s="168">
        <v>0</v>
      </c>
      <c r="F8" s="168">
        <v>0</v>
      </c>
      <c r="G8" s="168">
        <v>0</v>
      </c>
      <c r="H8" s="168">
        <v>0</v>
      </c>
      <c r="I8" s="167">
        <v>422643</v>
      </c>
      <c r="J8" s="168">
        <f t="shared" si="0"/>
        <v>1518294.13</v>
      </c>
    </row>
    <row r="9" spans="2:10" ht="12.75">
      <c r="B9" s="166" t="s">
        <v>51</v>
      </c>
      <c r="C9" s="167">
        <v>1088228.49</v>
      </c>
      <c r="D9" s="167">
        <v>-432728.78</v>
      </c>
      <c r="E9" s="168">
        <f>4211192.54+50000</f>
        <v>4261192.54</v>
      </c>
      <c r="F9" s="168"/>
      <c r="G9" s="168">
        <f>-2922906.71-50000</f>
        <v>-2972906.71</v>
      </c>
      <c r="H9" s="168">
        <v>0</v>
      </c>
      <c r="I9" s="168">
        <v>432728.78</v>
      </c>
      <c r="J9" s="168">
        <f t="shared" si="0"/>
        <v>2376514.3200000003</v>
      </c>
    </row>
    <row r="10" spans="2:10" ht="12.75">
      <c r="B10" s="166" t="s">
        <v>52</v>
      </c>
      <c r="C10" s="167">
        <v>0</v>
      </c>
      <c r="D10" s="167"/>
      <c r="E10" s="168"/>
      <c r="F10" s="168"/>
      <c r="G10" s="168">
        <v>0</v>
      </c>
      <c r="H10" s="168"/>
      <c r="I10" s="168"/>
      <c r="J10" s="168">
        <f t="shared" si="0"/>
        <v>0</v>
      </c>
    </row>
    <row r="11" spans="2:10" ht="13.5" thickBot="1">
      <c r="B11" s="32" t="s">
        <v>9</v>
      </c>
      <c r="C11" s="169">
        <f>SUM(C5:C10)</f>
        <v>50409981.720000006</v>
      </c>
      <c r="D11" s="169">
        <f aca="true" t="shared" si="1" ref="D11:J11">SUM(D5:D10)</f>
        <v>-2945830.5300000003</v>
      </c>
      <c r="E11" s="169">
        <f t="shared" si="1"/>
        <v>183439186.35999998</v>
      </c>
      <c r="F11" s="169">
        <f t="shared" si="1"/>
        <v>0</v>
      </c>
      <c r="G11" s="169">
        <f t="shared" si="1"/>
        <v>-164000682.95000002</v>
      </c>
      <c r="H11" s="169">
        <f t="shared" si="1"/>
        <v>0</v>
      </c>
      <c r="I11" s="169">
        <f t="shared" si="1"/>
        <v>1583151.97</v>
      </c>
      <c r="J11" s="169">
        <f t="shared" si="1"/>
        <v>68485806.57</v>
      </c>
    </row>
    <row r="12" ht="13.5" thickTop="1"/>
    <row r="15" spans="2:10" ht="12.75">
      <c r="B15" s="39"/>
      <c r="C15" s="160">
        <v>41821</v>
      </c>
      <c r="D15" s="160">
        <v>41821</v>
      </c>
      <c r="E15" s="161" t="s">
        <v>361</v>
      </c>
      <c r="F15" s="162" t="s">
        <v>92</v>
      </c>
      <c r="G15" s="161" t="str">
        <f>E15</f>
        <v>Till 30-04-2015</v>
      </c>
      <c r="H15" s="163"/>
      <c r="I15" s="161" t="str">
        <f>E15</f>
        <v>Till 30-04-2015</v>
      </c>
      <c r="J15" s="161" t="s">
        <v>362</v>
      </c>
    </row>
    <row r="16" spans="2:10" ht="12.75">
      <c r="B16" s="39"/>
      <c r="C16" s="164"/>
      <c r="D16" s="164"/>
      <c r="E16" s="165"/>
      <c r="F16" s="165"/>
      <c r="G16" s="165"/>
      <c r="H16" s="237" t="s">
        <v>344</v>
      </c>
      <c r="I16" s="165"/>
      <c r="J16" s="165"/>
    </row>
    <row r="17" spans="2:10" ht="12.75">
      <c r="B17" s="166" t="s">
        <v>47</v>
      </c>
      <c r="C17" s="167">
        <v>20304954.94</v>
      </c>
      <c r="D17" s="167">
        <v>-6693.91</v>
      </c>
      <c r="E17" s="168">
        <f>126001320.4+6693.91</f>
        <v>126008014.31</v>
      </c>
      <c r="F17" s="168">
        <v>0</v>
      </c>
      <c r="G17" s="168">
        <f>-84920238.16-42958388.23</f>
        <v>-127878626.38999999</v>
      </c>
      <c r="H17" s="168">
        <v>0</v>
      </c>
      <c r="I17" s="168">
        <v>0</v>
      </c>
      <c r="J17" s="168">
        <f aca="true" t="shared" si="2" ref="J17:J22">C17+D17+E17+F17+M17+G17+I17</f>
        <v>18427648.950000018</v>
      </c>
    </row>
    <row r="18" spans="2:10" ht="12.75">
      <c r="B18" s="166" t="s">
        <v>48</v>
      </c>
      <c r="C18" s="167">
        <v>27495500.16</v>
      </c>
      <c r="D18" s="167">
        <v>-2083764.84</v>
      </c>
      <c r="E18" s="168">
        <f>51365728.18+1959514.49</f>
        <v>53325242.67</v>
      </c>
      <c r="F18" s="168"/>
      <c r="G18" s="168">
        <f>-59414575.68-3935092.57</f>
        <v>-63349668.25</v>
      </c>
      <c r="H18" s="168"/>
      <c r="I18" s="167">
        <v>921537.95</v>
      </c>
      <c r="J18" s="168">
        <f t="shared" si="2"/>
        <v>16308847.690000009</v>
      </c>
    </row>
    <row r="19" spans="2:10" ht="12.75">
      <c r="B19" s="166" t="s">
        <v>49</v>
      </c>
      <c r="C19" s="167">
        <v>3004</v>
      </c>
      <c r="D19" s="167"/>
      <c r="E19" s="168">
        <v>0</v>
      </c>
      <c r="F19" s="168"/>
      <c r="G19" s="168">
        <v>0</v>
      </c>
      <c r="H19" s="168">
        <v>0</v>
      </c>
      <c r="I19" s="167">
        <v>0</v>
      </c>
      <c r="J19" s="168">
        <f t="shared" si="2"/>
        <v>3004</v>
      </c>
    </row>
    <row r="20" spans="2:10" ht="12.75">
      <c r="B20" s="166" t="s">
        <v>50</v>
      </c>
      <c r="C20" s="167">
        <v>1518294.13</v>
      </c>
      <c r="D20" s="167">
        <v>-422643</v>
      </c>
      <c r="E20" s="168">
        <v>0</v>
      </c>
      <c r="F20" s="168">
        <v>0</v>
      </c>
      <c r="G20" s="168">
        <v>0</v>
      </c>
      <c r="H20" s="168">
        <v>0</v>
      </c>
      <c r="I20" s="167">
        <v>422643</v>
      </c>
      <c r="J20" s="168">
        <f t="shared" si="2"/>
        <v>1518294.13</v>
      </c>
    </row>
    <row r="21" spans="2:10" ht="12.75">
      <c r="B21" s="166" t="s">
        <v>51</v>
      </c>
      <c r="C21" s="167">
        <v>1088228.49</v>
      </c>
      <c r="D21" s="167">
        <v>-432728.78</v>
      </c>
      <c r="E21" s="168">
        <v>4682411.53</v>
      </c>
      <c r="F21" s="168"/>
      <c r="G21" s="168">
        <f>-3107549.22-440666.69</f>
        <v>-3548215.91</v>
      </c>
      <c r="H21" s="168">
        <v>0</v>
      </c>
      <c r="I21" s="168">
        <v>432728.78</v>
      </c>
      <c r="J21" s="168">
        <f t="shared" si="2"/>
        <v>2222424.1100000003</v>
      </c>
    </row>
    <row r="22" spans="2:10" ht="12.75">
      <c r="B22" s="166" t="s">
        <v>52</v>
      </c>
      <c r="C22" s="167">
        <v>0</v>
      </c>
      <c r="D22" s="167"/>
      <c r="E22" s="168"/>
      <c r="F22" s="168"/>
      <c r="G22" s="168">
        <v>0</v>
      </c>
      <c r="H22" s="168"/>
      <c r="I22" s="168"/>
      <c r="J22" s="168">
        <f t="shared" si="2"/>
        <v>0</v>
      </c>
    </row>
    <row r="23" spans="2:10" ht="13.5" thickBot="1">
      <c r="B23" s="32" t="s">
        <v>9</v>
      </c>
      <c r="C23" s="169">
        <f>SUM(C17:C22)</f>
        <v>50409981.720000006</v>
      </c>
      <c r="D23" s="169">
        <f aca="true" t="shared" si="3" ref="D23:J23">SUM(D17:D22)</f>
        <v>-2945830.5300000003</v>
      </c>
      <c r="E23" s="169">
        <f t="shared" si="3"/>
        <v>184015668.51000002</v>
      </c>
      <c r="F23" s="169">
        <f t="shared" si="3"/>
        <v>0</v>
      </c>
      <c r="G23" s="169">
        <f t="shared" si="3"/>
        <v>-194776510.54999998</v>
      </c>
      <c r="H23" s="169">
        <f t="shared" si="3"/>
        <v>0</v>
      </c>
      <c r="I23" s="169">
        <f t="shared" si="3"/>
        <v>1776909.73</v>
      </c>
      <c r="J23" s="169">
        <f t="shared" si="3"/>
        <v>38480218.88000003</v>
      </c>
    </row>
    <row r="24" ht="13.5" thickTop="1"/>
    <row r="27" spans="2:10" ht="12.75">
      <c r="B27" s="39"/>
      <c r="C27" s="160">
        <v>41821</v>
      </c>
      <c r="D27" s="160">
        <v>41821</v>
      </c>
      <c r="E27" s="161" t="s">
        <v>370</v>
      </c>
      <c r="F27" s="162" t="s">
        <v>92</v>
      </c>
      <c r="G27" s="161" t="str">
        <f>E27</f>
        <v>Till 30-06-2015</v>
      </c>
      <c r="H27" s="163"/>
      <c r="I27" s="161" t="str">
        <f>E27</f>
        <v>Till 30-06-2015</v>
      </c>
      <c r="J27" s="161" t="s">
        <v>369</v>
      </c>
    </row>
    <row r="28" spans="2:10" ht="12.75">
      <c r="B28" s="39"/>
      <c r="C28" s="164"/>
      <c r="D28" s="164"/>
      <c r="E28" s="165"/>
      <c r="F28" s="165"/>
      <c r="G28" s="165"/>
      <c r="H28" s="237" t="s">
        <v>344</v>
      </c>
      <c r="I28" s="165"/>
      <c r="J28" s="165"/>
    </row>
    <row r="29" spans="2:10" ht="12.75">
      <c r="B29" s="166" t="s">
        <v>47</v>
      </c>
      <c r="C29" s="167">
        <v>20304954.94</v>
      </c>
      <c r="D29" s="167">
        <v>-6693.91</v>
      </c>
      <c r="E29" s="168">
        <f>126001320.4+6693.91</f>
        <v>126008014.31</v>
      </c>
      <c r="F29" s="168">
        <v>0</v>
      </c>
      <c r="G29" s="168">
        <f>-92885920.22-52235658.15</f>
        <v>-145121578.37</v>
      </c>
      <c r="H29" s="168">
        <v>0</v>
      </c>
      <c r="I29" s="168">
        <v>34296.86</v>
      </c>
      <c r="J29" s="168">
        <f aca="true" t="shared" si="4" ref="J29:J34">C29+D29+E29+F29+M29+G29+I29</f>
        <v>1218993.829999999</v>
      </c>
    </row>
    <row r="30" spans="2:10" ht="12.75">
      <c r="B30" s="166" t="s">
        <v>48</v>
      </c>
      <c r="C30" s="167">
        <v>27495500.16</v>
      </c>
      <c r="D30" s="167">
        <v>-2083764.84</v>
      </c>
      <c r="E30" s="168">
        <f>62236669.59+1959514.49</f>
        <v>64196184.080000006</v>
      </c>
      <c r="F30" s="168"/>
      <c r="G30" s="168">
        <f>-60629496.84-6088765.83</f>
        <v>-66718262.67</v>
      </c>
      <c r="H30" s="168"/>
      <c r="I30" s="167">
        <v>925451.52</v>
      </c>
      <c r="J30" s="168">
        <f t="shared" si="4"/>
        <v>23815108.250000004</v>
      </c>
    </row>
    <row r="31" spans="2:10" ht="12.75">
      <c r="B31" s="166" t="s">
        <v>49</v>
      </c>
      <c r="C31" s="167">
        <v>3004</v>
      </c>
      <c r="D31" s="167"/>
      <c r="E31" s="168">
        <v>0</v>
      </c>
      <c r="F31" s="168"/>
      <c r="G31" s="168">
        <v>-3004</v>
      </c>
      <c r="H31" s="168">
        <v>0</v>
      </c>
      <c r="I31" s="167">
        <v>0</v>
      </c>
      <c r="J31" s="168">
        <f t="shared" si="4"/>
        <v>0</v>
      </c>
    </row>
    <row r="32" spans="2:10" ht="12.75">
      <c r="B32" s="166" t="s">
        <v>50</v>
      </c>
      <c r="C32" s="167">
        <v>1518294.13</v>
      </c>
      <c r="D32" s="167">
        <v>-422643</v>
      </c>
      <c r="E32" s="168">
        <v>0</v>
      </c>
      <c r="F32" s="168">
        <v>0</v>
      </c>
      <c r="G32" s="168">
        <v>0</v>
      </c>
      <c r="H32" s="168">
        <v>0</v>
      </c>
      <c r="I32" s="167">
        <v>422643</v>
      </c>
      <c r="J32" s="168">
        <f t="shared" si="4"/>
        <v>1518294.13</v>
      </c>
    </row>
    <row r="33" spans="2:10" ht="12.75">
      <c r="B33" s="166" t="s">
        <v>51</v>
      </c>
      <c r="C33" s="167">
        <v>1088228.49</v>
      </c>
      <c r="D33" s="167">
        <v>-432728.78</v>
      </c>
      <c r="E33" s="168">
        <v>4682411.53</v>
      </c>
      <c r="F33" s="168"/>
      <c r="G33" s="168">
        <f>-3660687.44-440666.69</f>
        <v>-4101354.13</v>
      </c>
      <c r="H33" s="168">
        <v>0</v>
      </c>
      <c r="I33" s="168">
        <v>432728.78</v>
      </c>
      <c r="J33" s="168">
        <f t="shared" si="4"/>
        <v>1669285.8900000004</v>
      </c>
    </row>
    <row r="34" spans="2:10" ht="12.75">
      <c r="B34" s="166" t="s">
        <v>52</v>
      </c>
      <c r="C34" s="167">
        <v>0</v>
      </c>
      <c r="D34" s="167"/>
      <c r="E34" s="168"/>
      <c r="F34" s="168"/>
      <c r="G34" s="168">
        <v>0</v>
      </c>
      <c r="H34" s="168"/>
      <c r="I34" s="168"/>
      <c r="J34" s="168">
        <f t="shared" si="4"/>
        <v>0</v>
      </c>
    </row>
    <row r="35" spans="2:10" ht="13.5" thickBot="1">
      <c r="B35" s="32" t="s">
        <v>9</v>
      </c>
      <c r="C35" s="169">
        <f>SUM(C29:C34)</f>
        <v>50409981.720000006</v>
      </c>
      <c r="D35" s="169">
        <f aca="true" t="shared" si="5" ref="D35:J35">SUM(D29:D34)</f>
        <v>-2945830.5300000003</v>
      </c>
      <c r="E35" s="169">
        <f t="shared" si="5"/>
        <v>194886609.92000002</v>
      </c>
      <c r="F35" s="169">
        <f t="shared" si="5"/>
        <v>0</v>
      </c>
      <c r="G35" s="169">
        <f t="shared" si="5"/>
        <v>-215944199.17000002</v>
      </c>
      <c r="H35" s="169">
        <f t="shared" si="5"/>
        <v>0</v>
      </c>
      <c r="I35" s="169">
        <f t="shared" si="5"/>
        <v>1815120.16</v>
      </c>
      <c r="J35" s="169">
        <f t="shared" si="5"/>
        <v>28221682.1</v>
      </c>
    </row>
    <row r="36" ht="13.5" thickTop="1"/>
    <row r="38" spans="2:10" ht="12.75">
      <c r="B38" s="39"/>
      <c r="C38" s="160">
        <v>42186</v>
      </c>
      <c r="D38" s="160">
        <v>42186</v>
      </c>
      <c r="E38" s="161" t="s">
        <v>375</v>
      </c>
      <c r="F38" s="162" t="s">
        <v>92</v>
      </c>
      <c r="G38" s="161" t="str">
        <f>E38</f>
        <v>Till 31-07-2015</v>
      </c>
      <c r="H38" s="163"/>
      <c r="I38" s="161" t="str">
        <f>E38</f>
        <v>Till 31-07-2015</v>
      </c>
      <c r="J38" s="161" t="s">
        <v>376</v>
      </c>
    </row>
    <row r="39" spans="2:10" ht="12.75">
      <c r="B39" s="39"/>
      <c r="C39" s="164"/>
      <c r="D39" s="164"/>
      <c r="E39" s="165"/>
      <c r="F39" s="165"/>
      <c r="G39" s="165"/>
      <c r="H39" s="237" t="s">
        <v>344</v>
      </c>
      <c r="I39" s="165"/>
      <c r="J39" s="165"/>
    </row>
    <row r="40" spans="2:10" ht="12.75">
      <c r="B40" s="166" t="s">
        <v>47</v>
      </c>
      <c r="C40" s="167">
        <v>0</v>
      </c>
      <c r="D40" s="167">
        <v>0</v>
      </c>
      <c r="E40" s="168">
        <v>42784000</v>
      </c>
      <c r="F40" s="168">
        <v>0</v>
      </c>
      <c r="G40" s="168">
        <f>-8676861.46-1895241</f>
        <v>-10572102.46</v>
      </c>
      <c r="H40" s="168">
        <v>0</v>
      </c>
      <c r="I40" s="168">
        <v>0</v>
      </c>
      <c r="J40" s="168">
        <f aca="true" t="shared" si="6" ref="J40:J45">C40+D40+E40+F40+M40+G40+I40</f>
        <v>32211897.54</v>
      </c>
    </row>
    <row r="41" spans="2:10" ht="12.75">
      <c r="B41" s="166" t="s">
        <v>48</v>
      </c>
      <c r="C41" s="167">
        <v>21714828.83</v>
      </c>
      <c r="D41" s="167">
        <v>-856058.85</v>
      </c>
      <c r="E41" s="168">
        <v>6672000</v>
      </c>
      <c r="F41" s="168"/>
      <c r="G41" s="168">
        <v>-393868.3</v>
      </c>
      <c r="H41" s="168"/>
      <c r="I41" s="167">
        <v>859931.85</v>
      </c>
      <c r="J41" s="168">
        <f t="shared" si="6"/>
        <v>27996833.529999997</v>
      </c>
    </row>
    <row r="42" spans="2:10" ht="12.75">
      <c r="B42" s="166" t="s">
        <v>49</v>
      </c>
      <c r="C42" s="167">
        <v>0</v>
      </c>
      <c r="D42" s="167"/>
      <c r="E42" s="168">
        <v>0</v>
      </c>
      <c r="F42" s="168"/>
      <c r="G42" s="168">
        <v>0</v>
      </c>
      <c r="H42" s="168">
        <v>0</v>
      </c>
      <c r="I42" s="167">
        <v>0</v>
      </c>
      <c r="J42" s="168">
        <f t="shared" si="6"/>
        <v>0</v>
      </c>
    </row>
    <row r="43" spans="2:10" ht="12.75">
      <c r="B43" s="166" t="s">
        <v>50</v>
      </c>
      <c r="C43" s="167">
        <v>1518294.13</v>
      </c>
      <c r="D43" s="167">
        <v>-422643</v>
      </c>
      <c r="E43" s="168">
        <v>0</v>
      </c>
      <c r="F43" s="168">
        <v>0</v>
      </c>
      <c r="G43" s="168">
        <v>0</v>
      </c>
      <c r="H43" s="168">
        <v>0</v>
      </c>
      <c r="I43" s="167">
        <v>422643</v>
      </c>
      <c r="J43" s="168">
        <f t="shared" si="6"/>
        <v>1518294.13</v>
      </c>
    </row>
    <row r="44" spans="2:10" ht="12.75">
      <c r="B44" s="166" t="s">
        <v>51</v>
      </c>
      <c r="C44" s="167">
        <v>1662541.86</v>
      </c>
      <c r="D44" s="167">
        <v>-432728.78</v>
      </c>
      <c r="E44" s="168">
        <v>59643.72</v>
      </c>
      <c r="F44" s="168"/>
      <c r="G44" s="168">
        <v>-362956.73</v>
      </c>
      <c r="H44" s="168">
        <v>0</v>
      </c>
      <c r="I44" s="168">
        <v>373085.06</v>
      </c>
      <c r="J44" s="168">
        <f t="shared" si="6"/>
        <v>1299585.1300000001</v>
      </c>
    </row>
    <row r="45" spans="2:10" ht="12.75">
      <c r="B45" s="166" t="s">
        <v>52</v>
      </c>
      <c r="C45" s="167">
        <v>0</v>
      </c>
      <c r="D45" s="167"/>
      <c r="E45" s="168"/>
      <c r="F45" s="168"/>
      <c r="G45" s="168">
        <v>0</v>
      </c>
      <c r="H45" s="168"/>
      <c r="I45" s="168"/>
      <c r="J45" s="168">
        <f t="shared" si="6"/>
        <v>0</v>
      </c>
    </row>
    <row r="46" spans="2:10" ht="13.5" thickBot="1">
      <c r="B46" s="32" t="s">
        <v>9</v>
      </c>
      <c r="C46" s="169">
        <f>SUM(C40:C45)</f>
        <v>24895664.819999997</v>
      </c>
      <c r="D46" s="169">
        <f aca="true" t="shared" si="7" ref="D46:J46">SUM(D40:D45)</f>
        <v>-1711430.6300000001</v>
      </c>
      <c r="E46" s="169">
        <f t="shared" si="7"/>
        <v>49515643.72</v>
      </c>
      <c r="F46" s="169">
        <f t="shared" si="7"/>
        <v>0</v>
      </c>
      <c r="G46" s="169">
        <f t="shared" si="7"/>
        <v>-11328927.490000002</v>
      </c>
      <c r="H46" s="169">
        <f t="shared" si="7"/>
        <v>0</v>
      </c>
      <c r="I46" s="169">
        <f t="shared" si="7"/>
        <v>1655659.9100000001</v>
      </c>
      <c r="J46" s="169">
        <f t="shared" si="7"/>
        <v>63026610.33</v>
      </c>
    </row>
    <row r="47" ht="13.5" thickTop="1"/>
    <row r="49" spans="2:10" ht="12.75">
      <c r="B49" s="184" t="s">
        <v>380</v>
      </c>
      <c r="C49" s="160">
        <v>42186</v>
      </c>
      <c r="D49" s="160">
        <v>42186</v>
      </c>
      <c r="E49" s="161" t="s">
        <v>382</v>
      </c>
      <c r="F49" s="162" t="s">
        <v>92</v>
      </c>
      <c r="G49" s="161" t="str">
        <f>E49</f>
        <v>Till 31-08-2015</v>
      </c>
      <c r="H49" s="163"/>
      <c r="I49" s="161" t="str">
        <f>E49</f>
        <v>Till 31-08-2015</v>
      </c>
      <c r="J49" s="161" t="s">
        <v>383</v>
      </c>
    </row>
    <row r="50" spans="2:10" ht="12.75">
      <c r="B50" s="39"/>
      <c r="C50" s="164"/>
      <c r="D50" s="164"/>
      <c r="E50" s="165"/>
      <c r="F50" s="165"/>
      <c r="G50" s="165"/>
      <c r="H50" s="237" t="s">
        <v>344</v>
      </c>
      <c r="I50" s="165"/>
      <c r="J50" s="165"/>
    </row>
    <row r="51" spans="2:10" ht="12.75">
      <c r="B51" s="166" t="s">
        <v>47</v>
      </c>
      <c r="C51" s="167">
        <v>0</v>
      </c>
      <c r="D51" s="167">
        <v>0</v>
      </c>
      <c r="E51" s="168">
        <v>42784000</v>
      </c>
      <c r="F51" s="168">
        <v>0</v>
      </c>
      <c r="G51" s="168">
        <f>-8676861.46-1895241</f>
        <v>-10572102.46</v>
      </c>
      <c r="H51" s="168">
        <v>0</v>
      </c>
      <c r="I51" s="168">
        <v>0</v>
      </c>
      <c r="J51" s="168">
        <f aca="true" t="shared" si="8" ref="J51:J56">C51+D51+E51+F51+M51+G51+I51</f>
        <v>32211897.54</v>
      </c>
    </row>
    <row r="52" spans="2:10" ht="12.75">
      <c r="B52" s="166" t="s">
        <v>48</v>
      </c>
      <c r="C52" s="167">
        <v>21714828.83</v>
      </c>
      <c r="D52" s="167">
        <v>-856058.85</v>
      </c>
      <c r="E52" s="168">
        <v>6672000</v>
      </c>
      <c r="F52" s="168"/>
      <c r="G52" s="168">
        <v>-393868.3</v>
      </c>
      <c r="H52" s="168"/>
      <c r="I52" s="167">
        <v>859931.85</v>
      </c>
      <c r="J52" s="168">
        <f t="shared" si="8"/>
        <v>27996833.529999997</v>
      </c>
    </row>
    <row r="53" spans="2:10" ht="12.75">
      <c r="B53" s="166" t="s">
        <v>49</v>
      </c>
      <c r="C53" s="167">
        <v>0</v>
      </c>
      <c r="D53" s="167"/>
      <c r="E53" s="168">
        <v>0</v>
      </c>
      <c r="F53" s="168"/>
      <c r="G53" s="168">
        <v>0</v>
      </c>
      <c r="H53" s="168">
        <v>0</v>
      </c>
      <c r="I53" s="167">
        <v>0</v>
      </c>
      <c r="J53" s="168">
        <f t="shared" si="8"/>
        <v>0</v>
      </c>
    </row>
    <row r="54" spans="2:10" ht="12.75">
      <c r="B54" s="166" t="s">
        <v>50</v>
      </c>
      <c r="C54" s="167">
        <v>1518294.13</v>
      </c>
      <c r="D54" s="167">
        <v>-422643</v>
      </c>
      <c r="E54" s="168">
        <v>0</v>
      </c>
      <c r="F54" s="168">
        <v>0</v>
      </c>
      <c r="G54" s="168">
        <v>0</v>
      </c>
      <c r="H54" s="168">
        <v>0</v>
      </c>
      <c r="I54" s="167">
        <v>422643</v>
      </c>
      <c r="J54" s="168">
        <f t="shared" si="8"/>
        <v>1518294.13</v>
      </c>
    </row>
    <row r="55" spans="2:10" ht="12.75">
      <c r="B55" s="166" t="s">
        <v>51</v>
      </c>
      <c r="C55" s="167">
        <v>1662541.86</v>
      </c>
      <c r="D55" s="167">
        <v>-432728.78</v>
      </c>
      <c r="E55" s="168">
        <v>59643.72</v>
      </c>
      <c r="F55" s="168"/>
      <c r="G55" s="168">
        <v>-362956.73</v>
      </c>
      <c r="H55" s="168">
        <v>0</v>
      </c>
      <c r="I55" s="168">
        <v>373085.06</v>
      </c>
      <c r="J55" s="168">
        <f t="shared" si="8"/>
        <v>1299585.1300000001</v>
      </c>
    </row>
    <row r="56" spans="2:10" ht="12.75">
      <c r="B56" s="166" t="s">
        <v>52</v>
      </c>
      <c r="C56" s="167">
        <v>0</v>
      </c>
      <c r="D56" s="167"/>
      <c r="E56" s="168"/>
      <c r="F56" s="168"/>
      <c r="G56" s="168">
        <v>0</v>
      </c>
      <c r="H56" s="168"/>
      <c r="I56" s="168"/>
      <c r="J56" s="168">
        <f t="shared" si="8"/>
        <v>0</v>
      </c>
    </row>
    <row r="57" spans="2:10" ht="13.5" thickBot="1">
      <c r="B57" s="32" t="s">
        <v>9</v>
      </c>
      <c r="C57" s="169">
        <f>SUM(C51:C56)</f>
        <v>24895664.819999997</v>
      </c>
      <c r="D57" s="169">
        <f aca="true" t="shared" si="9" ref="D57:J57">SUM(D51:D56)</f>
        <v>-1711430.6300000001</v>
      </c>
      <c r="E57" s="169">
        <f t="shared" si="9"/>
        <v>49515643.72</v>
      </c>
      <c r="F57" s="169">
        <f t="shared" si="9"/>
        <v>0</v>
      </c>
      <c r="G57" s="169">
        <f t="shared" si="9"/>
        <v>-11328927.490000002</v>
      </c>
      <c r="H57" s="169">
        <f t="shared" si="9"/>
        <v>0</v>
      </c>
      <c r="I57" s="169">
        <f t="shared" si="9"/>
        <v>1655659.9100000001</v>
      </c>
      <c r="J57" s="169">
        <f t="shared" si="9"/>
        <v>63026610.33</v>
      </c>
    </row>
    <row r="58" ht="13.5" thickTop="1"/>
    <row r="61" spans="2:10" ht="12.75">
      <c r="B61" s="184"/>
      <c r="C61" s="160">
        <v>42186</v>
      </c>
      <c r="D61" s="160">
        <v>42186</v>
      </c>
      <c r="E61" s="161" t="s">
        <v>385</v>
      </c>
      <c r="F61" s="162" t="s">
        <v>92</v>
      </c>
      <c r="G61" s="161" t="str">
        <f>E61</f>
        <v>Till 30-09-2015</v>
      </c>
      <c r="H61" s="163"/>
      <c r="I61" s="161" t="str">
        <f>E61</f>
        <v>Till 30-09-2015</v>
      </c>
      <c r="J61" s="161" t="s">
        <v>386</v>
      </c>
    </row>
    <row r="62" spans="2:10" ht="12.75">
      <c r="B62" s="39"/>
      <c r="C62" s="164"/>
      <c r="D62" s="164"/>
      <c r="E62" s="165"/>
      <c r="F62" s="165"/>
      <c r="G62" s="165"/>
      <c r="H62" s="237" t="s">
        <v>344</v>
      </c>
      <c r="I62" s="165"/>
      <c r="J62" s="165"/>
    </row>
    <row r="63" spans="2:10" ht="12.75">
      <c r="B63" s="166" t="s">
        <v>47</v>
      </c>
      <c r="C63" s="167">
        <v>0</v>
      </c>
      <c r="D63" s="167">
        <v>0</v>
      </c>
      <c r="E63" s="168">
        <v>43184000</v>
      </c>
      <c r="F63" s="168">
        <v>0</v>
      </c>
      <c r="G63" s="168">
        <f>-25897341.18-5947973</f>
        <v>-31845314.18</v>
      </c>
      <c r="H63" s="168">
        <v>0</v>
      </c>
      <c r="I63" s="168">
        <v>0</v>
      </c>
      <c r="J63" s="168">
        <f aca="true" t="shared" si="10" ref="J63:J68">C63+D63+E63+F63+M63+G63+I63</f>
        <v>11338685.82</v>
      </c>
    </row>
    <row r="64" spans="2:10" ht="12.75">
      <c r="B64" s="166" t="s">
        <v>48</v>
      </c>
      <c r="C64" s="167">
        <v>21406078.22</v>
      </c>
      <c r="D64" s="167">
        <v>-547308.24</v>
      </c>
      <c r="E64" s="168">
        <v>6762000</v>
      </c>
      <c r="F64" s="168"/>
      <c r="G64" s="168">
        <f>-7995797.61-776906</f>
        <v>-8772703.61</v>
      </c>
      <c r="H64" s="168"/>
      <c r="I64" s="167">
        <v>517858.51</v>
      </c>
      <c r="J64" s="168">
        <f t="shared" si="10"/>
        <v>19365924.880000003</v>
      </c>
    </row>
    <row r="65" spans="2:10" ht="12.75">
      <c r="B65" s="166" t="s">
        <v>49</v>
      </c>
      <c r="C65" s="167">
        <v>0</v>
      </c>
      <c r="D65" s="167"/>
      <c r="E65" s="168">
        <v>0</v>
      </c>
      <c r="F65" s="168"/>
      <c r="G65" s="168">
        <v>0</v>
      </c>
      <c r="H65" s="168">
        <v>0</v>
      </c>
      <c r="I65" s="167">
        <v>0</v>
      </c>
      <c r="J65" s="168">
        <f t="shared" si="10"/>
        <v>0</v>
      </c>
    </row>
    <row r="66" spans="2:10" ht="12.75">
      <c r="B66" s="166" t="s">
        <v>50</v>
      </c>
      <c r="C66" s="167">
        <v>1518294.13</v>
      </c>
      <c r="D66" s="167">
        <v>-422643</v>
      </c>
      <c r="E66" s="168">
        <v>0</v>
      </c>
      <c r="F66" s="168">
        <v>0</v>
      </c>
      <c r="G66" s="168">
        <v>0</v>
      </c>
      <c r="H66" s="168">
        <v>0</v>
      </c>
      <c r="I66" s="167">
        <v>422643</v>
      </c>
      <c r="J66" s="168">
        <f t="shared" si="10"/>
        <v>1518294.13</v>
      </c>
    </row>
    <row r="67" spans="2:10" ht="12.75">
      <c r="B67" s="166" t="s">
        <v>51</v>
      </c>
      <c r="C67" s="167">
        <v>1425813.08</v>
      </c>
      <c r="D67" s="167">
        <v>-196000</v>
      </c>
      <c r="E67" s="168">
        <f>59643.72+91726.31</f>
        <v>151370.03</v>
      </c>
      <c r="F67" s="168"/>
      <c r="G67" s="168">
        <v>-947789.34</v>
      </c>
      <c r="H67" s="168">
        <v>0</v>
      </c>
      <c r="I67" s="168">
        <v>104273.69</v>
      </c>
      <c r="J67" s="168">
        <f t="shared" si="10"/>
        <v>537667.4600000002</v>
      </c>
    </row>
    <row r="68" spans="2:10" ht="12.75">
      <c r="B68" s="166" t="s">
        <v>52</v>
      </c>
      <c r="C68" s="167">
        <v>0</v>
      </c>
      <c r="D68" s="167"/>
      <c r="E68" s="168"/>
      <c r="F68" s="168"/>
      <c r="G68" s="168">
        <v>0</v>
      </c>
      <c r="H68" s="168"/>
      <c r="I68" s="168"/>
      <c r="J68" s="168">
        <f t="shared" si="10"/>
        <v>0</v>
      </c>
    </row>
    <row r="69" spans="2:10" ht="13.5" thickBot="1">
      <c r="B69" s="32" t="s">
        <v>9</v>
      </c>
      <c r="C69" s="169">
        <f>SUM(C63:C68)</f>
        <v>24350185.43</v>
      </c>
      <c r="D69" s="169">
        <f aca="true" t="shared" si="11" ref="D69:J69">SUM(D63:D68)</f>
        <v>-1165951.24</v>
      </c>
      <c r="E69" s="169">
        <f t="shared" si="11"/>
        <v>50097370.03</v>
      </c>
      <c r="F69" s="169">
        <f t="shared" si="11"/>
        <v>0</v>
      </c>
      <c r="G69" s="169">
        <f t="shared" si="11"/>
        <v>-41565807.13</v>
      </c>
      <c r="H69" s="169">
        <f t="shared" si="11"/>
        <v>0</v>
      </c>
      <c r="I69" s="169">
        <f t="shared" si="11"/>
        <v>1044775.2</v>
      </c>
      <c r="J69" s="169">
        <f t="shared" si="11"/>
        <v>32760572.290000003</v>
      </c>
    </row>
    <row r="70" ht="13.5" thickTop="1"/>
    <row r="72" ht="13.5" customHeight="1"/>
    <row r="73" spans="2:10" ht="12.75">
      <c r="B73" s="184"/>
      <c r="C73" s="160">
        <v>42186</v>
      </c>
      <c r="D73" s="160">
        <v>42186</v>
      </c>
      <c r="E73" s="161" t="s">
        <v>389</v>
      </c>
      <c r="F73" s="162" t="s">
        <v>92</v>
      </c>
      <c r="G73" s="161" t="str">
        <f>E73</f>
        <v>Till 31-10-2015</v>
      </c>
      <c r="H73" s="163"/>
      <c r="I73" s="161" t="str">
        <f>E73</f>
        <v>Till 31-10-2015</v>
      </c>
      <c r="J73" s="161" t="s">
        <v>390</v>
      </c>
    </row>
    <row r="74" spans="2:10" ht="12.75">
      <c r="B74" s="39"/>
      <c r="C74" s="164"/>
      <c r="D74" s="164"/>
      <c r="E74" s="165"/>
      <c r="F74" s="165"/>
      <c r="G74" s="165"/>
      <c r="H74" s="237" t="s">
        <v>344</v>
      </c>
      <c r="I74" s="165"/>
      <c r="J74" s="165"/>
    </row>
    <row r="75" spans="2:10" ht="12.75">
      <c r="B75" s="166" t="s">
        <v>47</v>
      </c>
      <c r="C75" s="167">
        <v>0</v>
      </c>
      <c r="D75" s="167">
        <v>0</v>
      </c>
      <c r="E75" s="168">
        <v>52147000</v>
      </c>
      <c r="F75" s="168">
        <v>0</v>
      </c>
      <c r="G75" s="168">
        <f>-35142256.62-7241212</f>
        <v>-42383468.62</v>
      </c>
      <c r="H75" s="168">
        <v>0</v>
      </c>
      <c r="I75" s="168">
        <v>0</v>
      </c>
      <c r="J75" s="168">
        <f aca="true" t="shared" si="12" ref="J75:J80">C75+D75+E75+F75+M75+G75+I75</f>
        <v>9763531.380000003</v>
      </c>
    </row>
    <row r="76" spans="2:10" ht="12.75">
      <c r="B76" s="166" t="s">
        <v>48</v>
      </c>
      <c r="C76" s="167">
        <v>21406078.22</v>
      </c>
      <c r="D76" s="167">
        <v>-547308.24</v>
      </c>
      <c r="E76" s="168">
        <v>9214000</v>
      </c>
      <c r="F76" s="168"/>
      <c r="G76" s="168">
        <f>-12703273.62-1569098.97</f>
        <v>-14272372.59</v>
      </c>
      <c r="H76" s="168"/>
      <c r="I76" s="167">
        <v>612583.91</v>
      </c>
      <c r="J76" s="168">
        <f t="shared" si="12"/>
        <v>16412981.3</v>
      </c>
    </row>
    <row r="77" spans="2:10" ht="12.75">
      <c r="B77" s="166" t="s">
        <v>49</v>
      </c>
      <c r="C77" s="167">
        <v>0</v>
      </c>
      <c r="D77" s="167"/>
      <c r="E77" s="168">
        <v>0</v>
      </c>
      <c r="F77" s="168"/>
      <c r="G77" s="168">
        <v>0</v>
      </c>
      <c r="H77" s="168">
        <v>0</v>
      </c>
      <c r="I77" s="167">
        <v>0</v>
      </c>
      <c r="J77" s="168">
        <f t="shared" si="12"/>
        <v>0</v>
      </c>
    </row>
    <row r="78" spans="2:10" ht="12.75">
      <c r="B78" s="166" t="s">
        <v>50</v>
      </c>
      <c r="C78" s="167">
        <v>1518294.13</v>
      </c>
      <c r="D78" s="167">
        <v>-422643</v>
      </c>
      <c r="E78" s="168">
        <v>0</v>
      </c>
      <c r="F78" s="168">
        <v>0</v>
      </c>
      <c r="G78" s="168">
        <v>0</v>
      </c>
      <c r="H78" s="168">
        <v>0</v>
      </c>
      <c r="I78" s="167">
        <v>422643</v>
      </c>
      <c r="J78" s="168">
        <f t="shared" si="12"/>
        <v>1518294.13</v>
      </c>
    </row>
    <row r="79" spans="2:10" ht="12.75">
      <c r="B79" s="166" t="s">
        <v>51</v>
      </c>
      <c r="C79" s="167">
        <v>1425813.08</v>
      </c>
      <c r="D79" s="167">
        <v>-196000</v>
      </c>
      <c r="E79" s="168">
        <f>179247.63+91726.31</f>
        <v>270973.94</v>
      </c>
      <c r="F79" s="168"/>
      <c r="G79" s="168">
        <v>-1274605.07</v>
      </c>
      <c r="H79" s="168">
        <v>0</v>
      </c>
      <c r="I79" s="168">
        <v>104273.69</v>
      </c>
      <c r="J79" s="168">
        <f t="shared" si="12"/>
        <v>330455.63999999996</v>
      </c>
    </row>
    <row r="80" spans="2:10" ht="12.75">
      <c r="B80" s="166" t="s">
        <v>52</v>
      </c>
      <c r="C80" s="167">
        <v>0</v>
      </c>
      <c r="D80" s="167"/>
      <c r="E80" s="168"/>
      <c r="F80" s="168"/>
      <c r="G80" s="168">
        <v>0</v>
      </c>
      <c r="H80" s="168"/>
      <c r="I80" s="168"/>
      <c r="J80" s="168">
        <f t="shared" si="12"/>
        <v>0</v>
      </c>
    </row>
    <row r="81" spans="2:10" ht="13.5" thickBot="1">
      <c r="B81" s="32" t="s">
        <v>9</v>
      </c>
      <c r="C81" s="169">
        <f>SUM(C75:C80)</f>
        <v>24350185.43</v>
      </c>
      <c r="D81" s="169">
        <f aca="true" t="shared" si="13" ref="D81:J81">SUM(D75:D80)</f>
        <v>-1165951.24</v>
      </c>
      <c r="E81" s="169">
        <f t="shared" si="13"/>
        <v>61631973.94</v>
      </c>
      <c r="F81" s="169">
        <f t="shared" si="13"/>
        <v>0</v>
      </c>
      <c r="G81" s="169">
        <f t="shared" si="13"/>
        <v>-57930446.279999994</v>
      </c>
      <c r="H81" s="169">
        <f t="shared" si="13"/>
        <v>0</v>
      </c>
      <c r="I81" s="169">
        <f t="shared" si="13"/>
        <v>1139500.6</v>
      </c>
      <c r="J81" s="169">
        <f t="shared" si="13"/>
        <v>28025262.450000003</v>
      </c>
    </row>
    <row r="82" ht="13.5" thickTop="1"/>
    <row r="85" spans="2:10" ht="12.75">
      <c r="B85" s="184"/>
      <c r="C85" s="160">
        <v>42186</v>
      </c>
      <c r="D85" s="160">
        <v>42186</v>
      </c>
      <c r="E85" s="161" t="s">
        <v>394</v>
      </c>
      <c r="F85" s="162" t="s">
        <v>92</v>
      </c>
      <c r="G85" s="161" t="str">
        <f>E85</f>
        <v>Till 30-11-2015</v>
      </c>
      <c r="H85" s="163"/>
      <c r="I85" s="161" t="str">
        <f>E85</f>
        <v>Till 30-11-2015</v>
      </c>
      <c r="J85" s="161" t="s">
        <v>395</v>
      </c>
    </row>
    <row r="86" spans="2:10" ht="12.75">
      <c r="B86" s="39"/>
      <c r="C86" s="164"/>
      <c r="D86" s="164"/>
      <c r="E86" s="165"/>
      <c r="F86" s="165"/>
      <c r="G86" s="165"/>
      <c r="H86" s="237" t="s">
        <v>344</v>
      </c>
      <c r="I86" s="165"/>
      <c r="J86" s="165"/>
    </row>
    <row r="87" spans="2:10" ht="12.75">
      <c r="B87" s="166" t="s">
        <v>47</v>
      </c>
      <c r="C87" s="167">
        <v>0</v>
      </c>
      <c r="D87" s="167">
        <v>0</v>
      </c>
      <c r="E87" s="168">
        <v>79979381.51</v>
      </c>
      <c r="F87" s="168">
        <v>0</v>
      </c>
      <c r="G87" s="168">
        <f>-44452788.35-14685399</f>
        <v>-59138187.35</v>
      </c>
      <c r="H87" s="168">
        <v>0</v>
      </c>
      <c r="I87" s="168">
        <v>54399</v>
      </c>
      <c r="J87" s="168">
        <f aca="true" t="shared" si="14" ref="J87:J92">C87+D87+E87+F87+M87+G87+I87</f>
        <v>20895593.160000004</v>
      </c>
    </row>
    <row r="88" spans="2:10" ht="12.75">
      <c r="B88" s="166" t="s">
        <v>48</v>
      </c>
      <c r="C88" s="167">
        <v>21406078.22</v>
      </c>
      <c r="D88" s="167">
        <v>-547308.24</v>
      </c>
      <c r="E88" s="168">
        <v>12181828.91</v>
      </c>
      <c r="F88" s="168"/>
      <c r="G88" s="168">
        <f>-13250910.53-2749389.97</f>
        <v>-16000300.5</v>
      </c>
      <c r="H88" s="168"/>
      <c r="I88" s="167">
        <v>612583.91</v>
      </c>
      <c r="J88" s="168">
        <f t="shared" si="14"/>
        <v>17652882.3</v>
      </c>
    </row>
    <row r="89" spans="2:10" ht="12.75">
      <c r="B89" s="166" t="s">
        <v>49</v>
      </c>
      <c r="C89" s="167">
        <v>0</v>
      </c>
      <c r="D89" s="167"/>
      <c r="E89" s="168">
        <v>0</v>
      </c>
      <c r="F89" s="168"/>
      <c r="G89" s="168">
        <v>0</v>
      </c>
      <c r="H89" s="168">
        <v>0</v>
      </c>
      <c r="I89" s="167">
        <v>0</v>
      </c>
      <c r="J89" s="168">
        <f t="shared" si="14"/>
        <v>0</v>
      </c>
    </row>
    <row r="90" spans="2:10" ht="12.75">
      <c r="B90" s="166" t="s">
        <v>50</v>
      </c>
      <c r="C90" s="167">
        <v>1518294.13</v>
      </c>
      <c r="D90" s="167">
        <v>-422643</v>
      </c>
      <c r="E90" s="168">
        <v>0</v>
      </c>
      <c r="F90" s="168">
        <v>0</v>
      </c>
      <c r="G90" s="168">
        <v>0</v>
      </c>
      <c r="H90" s="168">
        <v>0</v>
      </c>
      <c r="I90" s="167">
        <v>422643</v>
      </c>
      <c r="J90" s="168">
        <f t="shared" si="14"/>
        <v>1518294.13</v>
      </c>
    </row>
    <row r="91" spans="2:10" ht="12.75">
      <c r="B91" s="166" t="s">
        <v>51</v>
      </c>
      <c r="C91" s="167">
        <v>1425813.08</v>
      </c>
      <c r="D91" s="167">
        <v>-196000</v>
      </c>
      <c r="E91" s="168">
        <f>179247.63+91726.31</f>
        <v>270973.94</v>
      </c>
      <c r="F91" s="168"/>
      <c r="G91" s="168">
        <v>-1584099.24</v>
      </c>
      <c r="H91" s="168">
        <v>0</v>
      </c>
      <c r="I91" s="168">
        <v>285735.39</v>
      </c>
      <c r="J91" s="168">
        <f t="shared" si="14"/>
        <v>202423.17000000004</v>
      </c>
    </row>
    <row r="92" spans="2:10" ht="12.75">
      <c r="B92" s="166" t="s">
        <v>52</v>
      </c>
      <c r="C92" s="167">
        <v>0</v>
      </c>
      <c r="D92" s="167"/>
      <c r="E92" s="168"/>
      <c r="F92" s="168"/>
      <c r="G92" s="168">
        <v>0</v>
      </c>
      <c r="H92" s="168"/>
      <c r="I92" s="168"/>
      <c r="J92" s="168">
        <f t="shared" si="14"/>
        <v>0</v>
      </c>
    </row>
    <row r="93" spans="2:10" ht="13.5" thickBot="1">
      <c r="B93" s="32" t="s">
        <v>9</v>
      </c>
      <c r="C93" s="169">
        <f>SUM(C87:C92)</f>
        <v>24350185.43</v>
      </c>
      <c r="D93" s="169">
        <f aca="true" t="shared" si="15" ref="D93:J93">SUM(D87:D92)</f>
        <v>-1165951.24</v>
      </c>
      <c r="E93" s="169">
        <f t="shared" si="15"/>
        <v>92432184.36</v>
      </c>
      <c r="F93" s="169">
        <f t="shared" si="15"/>
        <v>0</v>
      </c>
      <c r="G93" s="169">
        <f t="shared" si="15"/>
        <v>-76722587.08999999</v>
      </c>
      <c r="H93" s="169">
        <f t="shared" si="15"/>
        <v>0</v>
      </c>
      <c r="I93" s="169">
        <f t="shared" si="15"/>
        <v>1375361.3000000003</v>
      </c>
      <c r="J93" s="169">
        <f t="shared" si="15"/>
        <v>40269192.76000001</v>
      </c>
    </row>
    <row r="94" ht="13.5" thickTop="1"/>
    <row r="97" spans="2:10" ht="12.75">
      <c r="B97" s="184"/>
      <c r="C97" s="160">
        <v>42186</v>
      </c>
      <c r="D97" s="160">
        <v>42186</v>
      </c>
      <c r="E97" s="161" t="s">
        <v>397</v>
      </c>
      <c r="F97" s="162" t="s">
        <v>92</v>
      </c>
      <c r="G97" s="161" t="str">
        <f>E97</f>
        <v>Till 31-12-2015</v>
      </c>
      <c r="H97" s="163"/>
      <c r="I97" s="161" t="str">
        <f>E97</f>
        <v>Till 31-12-2015</v>
      </c>
      <c r="J97" s="161" t="s">
        <v>398</v>
      </c>
    </row>
    <row r="98" spans="2:10" ht="12.75">
      <c r="B98" s="39"/>
      <c r="C98" s="164"/>
      <c r="D98" s="164"/>
      <c r="E98" s="165"/>
      <c r="F98" s="165"/>
      <c r="G98" s="165"/>
      <c r="H98" s="237" t="s">
        <v>344</v>
      </c>
      <c r="I98" s="165"/>
      <c r="J98" s="165"/>
    </row>
    <row r="99" spans="2:10" ht="12.75">
      <c r="B99" s="166" t="s">
        <v>47</v>
      </c>
      <c r="C99" s="167">
        <v>0</v>
      </c>
      <c r="D99" s="167">
        <v>0</v>
      </c>
      <c r="E99" s="168">
        <f>79979381.51-188000</f>
        <v>79791381.51</v>
      </c>
      <c r="F99" s="168">
        <v>0</v>
      </c>
      <c r="G99" s="168">
        <f>-53901823.55-14685399</f>
        <v>-68587222.55</v>
      </c>
      <c r="H99" s="168">
        <v>0</v>
      </c>
      <c r="I99" s="168">
        <v>54399</v>
      </c>
      <c r="J99" s="168">
        <f aca="true" t="shared" si="16" ref="J99:J104">C99+D99+E99+F99+M99+G99+I99</f>
        <v>11258557.960000008</v>
      </c>
    </row>
    <row r="100" spans="2:10" ht="12.75">
      <c r="B100" s="166" t="s">
        <v>48</v>
      </c>
      <c r="C100" s="167">
        <v>21406078.22</v>
      </c>
      <c r="D100" s="167">
        <v>-547308.24</v>
      </c>
      <c r="E100" s="168">
        <f>16188944.35+188000</f>
        <v>16376944.35</v>
      </c>
      <c r="F100" s="168"/>
      <c r="G100" s="168">
        <f>-13814951.59-4214170.22</f>
        <v>-18029121.81</v>
      </c>
      <c r="H100" s="168"/>
      <c r="I100" s="167">
        <v>424819.89</v>
      </c>
      <c r="J100" s="168">
        <f t="shared" si="16"/>
        <v>19631412.41</v>
      </c>
    </row>
    <row r="101" spans="2:10" ht="12.75">
      <c r="B101" s="166" t="s">
        <v>49</v>
      </c>
      <c r="C101" s="167">
        <v>0</v>
      </c>
      <c r="D101" s="167"/>
      <c r="E101" s="168">
        <v>0</v>
      </c>
      <c r="F101" s="168"/>
      <c r="G101" s="168">
        <v>0</v>
      </c>
      <c r="H101" s="168">
        <v>0</v>
      </c>
      <c r="I101" s="167">
        <v>0</v>
      </c>
      <c r="J101" s="168">
        <f t="shared" si="16"/>
        <v>0</v>
      </c>
    </row>
    <row r="102" spans="2:10" ht="12.75">
      <c r="B102" s="166" t="s">
        <v>50</v>
      </c>
      <c r="C102" s="167">
        <v>1518294.13</v>
      </c>
      <c r="D102" s="167">
        <v>-422643</v>
      </c>
      <c r="E102" s="168">
        <v>0</v>
      </c>
      <c r="F102" s="168">
        <v>0</v>
      </c>
      <c r="G102" s="168">
        <v>0</v>
      </c>
      <c r="H102" s="168">
        <v>0</v>
      </c>
      <c r="I102" s="167">
        <v>422643</v>
      </c>
      <c r="J102" s="168">
        <f t="shared" si="16"/>
        <v>1518294.13</v>
      </c>
    </row>
    <row r="103" spans="2:10" ht="12.75">
      <c r="B103" s="166" t="s">
        <v>51</v>
      </c>
      <c r="C103" s="167">
        <v>1425813.08</v>
      </c>
      <c r="D103" s="167">
        <v>-196000</v>
      </c>
      <c r="E103" s="168">
        <f>262943.25+91726.31</f>
        <v>354669.56</v>
      </c>
      <c r="F103" s="168"/>
      <c r="G103" s="168">
        <f>-1637563.58</f>
        <v>-1637563.58</v>
      </c>
      <c r="H103" s="168">
        <v>0</v>
      </c>
      <c r="I103" s="168">
        <v>255504.11</v>
      </c>
      <c r="J103" s="168">
        <f t="shared" si="16"/>
        <v>202423.17000000004</v>
      </c>
    </row>
    <row r="104" spans="2:10" ht="12.75">
      <c r="B104" s="166" t="s">
        <v>52</v>
      </c>
      <c r="C104" s="167">
        <v>0</v>
      </c>
      <c r="D104" s="167"/>
      <c r="E104" s="168"/>
      <c r="F104" s="168"/>
      <c r="G104" s="168">
        <v>0</v>
      </c>
      <c r="H104" s="168"/>
      <c r="I104" s="168"/>
      <c r="J104" s="168">
        <f t="shared" si="16"/>
        <v>0</v>
      </c>
    </row>
    <row r="105" spans="2:10" ht="13.5" thickBot="1">
      <c r="B105" s="32" t="s">
        <v>9</v>
      </c>
      <c r="C105" s="169">
        <f>SUM(C99:C104)</f>
        <v>24350185.43</v>
      </c>
      <c r="D105" s="169">
        <f aca="true" t="shared" si="17" ref="D105:J105">SUM(D99:D104)</f>
        <v>-1165951.24</v>
      </c>
      <c r="E105" s="169">
        <f t="shared" si="17"/>
        <v>96522995.42</v>
      </c>
      <c r="F105" s="169">
        <f t="shared" si="17"/>
        <v>0</v>
      </c>
      <c r="G105" s="169">
        <f t="shared" si="17"/>
        <v>-88253907.94</v>
      </c>
      <c r="H105" s="169">
        <f t="shared" si="17"/>
        <v>0</v>
      </c>
      <c r="I105" s="169">
        <f t="shared" si="17"/>
        <v>1157366</v>
      </c>
      <c r="J105" s="169">
        <f t="shared" si="17"/>
        <v>32610687.67000001</v>
      </c>
    </row>
    <row r="106" ht="13.5" thickTop="1"/>
    <row r="110" spans="2:10" ht="12.75">
      <c r="B110" s="184"/>
      <c r="C110" s="160">
        <v>42186</v>
      </c>
      <c r="D110" s="160">
        <v>42186</v>
      </c>
      <c r="E110" s="161" t="s">
        <v>401</v>
      </c>
      <c r="F110" s="162" t="s">
        <v>92</v>
      </c>
      <c r="G110" s="161" t="str">
        <f>E110</f>
        <v>Till 31-01-2016</v>
      </c>
      <c r="H110" s="163"/>
      <c r="I110" s="161" t="str">
        <f>E110</f>
        <v>Till 31-01-2016</v>
      </c>
      <c r="J110" s="161" t="s">
        <v>402</v>
      </c>
    </row>
    <row r="111" spans="2:10" ht="12.75">
      <c r="B111" s="39"/>
      <c r="C111" s="164"/>
      <c r="D111" s="164"/>
      <c r="E111" s="165"/>
      <c r="F111" s="165"/>
      <c r="G111" s="165"/>
      <c r="H111" s="237" t="s">
        <v>344</v>
      </c>
      <c r="I111" s="165"/>
      <c r="J111" s="165"/>
    </row>
    <row r="112" spans="2:10" ht="12.75">
      <c r="B112" s="166" t="s">
        <v>47</v>
      </c>
      <c r="C112" s="167">
        <v>0</v>
      </c>
      <c r="D112" s="167">
        <v>0</v>
      </c>
      <c r="E112" s="168">
        <f>79979381.51-188000</f>
        <v>79791381.51</v>
      </c>
      <c r="F112" s="168">
        <v>0</v>
      </c>
      <c r="G112" s="168">
        <f>-53901823.55-14685399</f>
        <v>-68587222.55</v>
      </c>
      <c r="H112" s="168">
        <v>0</v>
      </c>
      <c r="I112" s="168">
        <v>54399</v>
      </c>
      <c r="J112" s="168">
        <f aca="true" t="shared" si="18" ref="J112:J117">C112+D112+E112+F112+M112+G112+I112</f>
        <v>11258557.960000008</v>
      </c>
    </row>
    <row r="113" spans="2:10" ht="12.75">
      <c r="B113" s="166" t="s">
        <v>48</v>
      </c>
      <c r="C113" s="167">
        <v>21406078.22</v>
      </c>
      <c r="D113" s="167">
        <v>-547308.24</v>
      </c>
      <c r="E113" s="168">
        <f>16188944.35+188000</f>
        <v>16376944.35</v>
      </c>
      <c r="F113" s="168"/>
      <c r="G113" s="168">
        <f>-13814951.59-4214170.22</f>
        <v>-18029121.81</v>
      </c>
      <c r="H113" s="168"/>
      <c r="I113" s="167">
        <v>424819.89</v>
      </c>
      <c r="J113" s="168">
        <f t="shared" si="18"/>
        <v>19631412.41</v>
      </c>
    </row>
    <row r="114" spans="2:10" ht="12.75">
      <c r="B114" s="166" t="s">
        <v>49</v>
      </c>
      <c r="C114" s="167">
        <v>0</v>
      </c>
      <c r="D114" s="167"/>
      <c r="E114" s="168">
        <v>0</v>
      </c>
      <c r="F114" s="168"/>
      <c r="G114" s="168">
        <v>0</v>
      </c>
      <c r="H114" s="168">
        <v>0</v>
      </c>
      <c r="I114" s="167">
        <v>0</v>
      </c>
      <c r="J114" s="168">
        <f t="shared" si="18"/>
        <v>0</v>
      </c>
    </row>
    <row r="115" spans="2:10" ht="12.75">
      <c r="B115" s="166" t="s">
        <v>50</v>
      </c>
      <c r="C115" s="167">
        <v>1518294.13</v>
      </c>
      <c r="D115" s="167">
        <v>-422643</v>
      </c>
      <c r="E115" s="168">
        <v>0</v>
      </c>
      <c r="F115" s="168">
        <v>0</v>
      </c>
      <c r="G115" s="168">
        <v>0</v>
      </c>
      <c r="H115" s="168">
        <v>0</v>
      </c>
      <c r="I115" s="167">
        <v>422643</v>
      </c>
      <c r="J115" s="168">
        <f t="shared" si="18"/>
        <v>1518294.13</v>
      </c>
    </row>
    <row r="116" spans="2:10" ht="12.75">
      <c r="B116" s="166" t="s">
        <v>51</v>
      </c>
      <c r="C116" s="167">
        <v>1425813.08</v>
      </c>
      <c r="D116" s="167">
        <v>-196000</v>
      </c>
      <c r="E116" s="168">
        <f>262943.25+91726.31</f>
        <v>354669.56</v>
      </c>
      <c r="F116" s="168"/>
      <c r="G116" s="168">
        <f>-1637563.58</f>
        <v>-1637563.58</v>
      </c>
      <c r="H116" s="168">
        <v>0</v>
      </c>
      <c r="I116" s="168">
        <v>255504.11</v>
      </c>
      <c r="J116" s="168">
        <f t="shared" si="18"/>
        <v>202423.17000000004</v>
      </c>
    </row>
    <row r="117" spans="2:10" ht="12.75">
      <c r="B117" s="166" t="s">
        <v>52</v>
      </c>
      <c r="C117" s="167">
        <v>0</v>
      </c>
      <c r="D117" s="167"/>
      <c r="E117" s="168"/>
      <c r="F117" s="168"/>
      <c r="G117" s="168">
        <v>0</v>
      </c>
      <c r="H117" s="168"/>
      <c r="I117" s="168"/>
      <c r="J117" s="168">
        <f t="shared" si="18"/>
        <v>0</v>
      </c>
    </row>
    <row r="118" spans="2:10" ht="13.5" thickBot="1">
      <c r="B118" s="32" t="s">
        <v>9</v>
      </c>
      <c r="C118" s="169">
        <f>SUM(C112:C117)</f>
        <v>24350185.43</v>
      </c>
      <c r="D118" s="169">
        <f aca="true" t="shared" si="19" ref="D118:J118">SUM(D112:D117)</f>
        <v>-1165951.24</v>
      </c>
      <c r="E118" s="169">
        <f t="shared" si="19"/>
        <v>96522995.42</v>
      </c>
      <c r="F118" s="169">
        <f t="shared" si="19"/>
        <v>0</v>
      </c>
      <c r="G118" s="169">
        <f t="shared" si="19"/>
        <v>-88253907.94</v>
      </c>
      <c r="H118" s="169">
        <f t="shared" si="19"/>
        <v>0</v>
      </c>
      <c r="I118" s="169">
        <f t="shared" si="19"/>
        <v>1157366</v>
      </c>
      <c r="J118" s="169">
        <f t="shared" si="19"/>
        <v>32610687.67000001</v>
      </c>
    </row>
    <row r="119" ht="13.5" thickTop="1"/>
    <row r="122" spans="2:10" ht="12.75">
      <c r="B122" s="184"/>
      <c r="C122" s="160">
        <v>42186</v>
      </c>
      <c r="D122" s="160">
        <v>42186</v>
      </c>
      <c r="E122" s="161" t="s">
        <v>406</v>
      </c>
      <c r="F122" s="162" t="s">
        <v>92</v>
      </c>
      <c r="G122" s="161" t="str">
        <f>E122</f>
        <v>Till 28-02-2016</v>
      </c>
      <c r="H122" s="163"/>
      <c r="I122" s="161" t="str">
        <f>E122</f>
        <v>Till 28-02-2016</v>
      </c>
      <c r="J122" s="161" t="s">
        <v>405</v>
      </c>
    </row>
    <row r="123" spans="2:10" ht="12.75">
      <c r="B123" s="39"/>
      <c r="C123" s="164"/>
      <c r="D123" s="164"/>
      <c r="E123" s="165"/>
      <c r="F123" s="165"/>
      <c r="G123" s="165"/>
      <c r="H123" s="237" t="s">
        <v>344</v>
      </c>
      <c r="I123" s="165"/>
      <c r="J123" s="165"/>
    </row>
    <row r="124" spans="2:10" ht="12.75">
      <c r="B124" s="166" t="s">
        <v>47</v>
      </c>
      <c r="C124" s="167">
        <v>0</v>
      </c>
      <c r="D124" s="167">
        <v>0</v>
      </c>
      <c r="E124" s="168">
        <v>79798743.15</v>
      </c>
      <c r="F124" s="168">
        <v>0</v>
      </c>
      <c r="G124" s="168">
        <f>-63462564.62-20276762.24</f>
        <v>-83739326.86</v>
      </c>
      <c r="H124" s="168">
        <v>0</v>
      </c>
      <c r="I124" s="168">
        <v>5645762.24</v>
      </c>
      <c r="J124" s="168">
        <f aca="true" t="shared" si="20" ref="J124:J129">C124+D124+E124+F124+M124+G124+I124</f>
        <v>1705178.5300000068</v>
      </c>
    </row>
    <row r="125" spans="2:10" ht="12.75">
      <c r="B125" s="166" t="s">
        <v>48</v>
      </c>
      <c r="C125" s="167">
        <v>21406078.22</v>
      </c>
      <c r="D125" s="167">
        <v>-547308.24</v>
      </c>
      <c r="E125" s="168">
        <f>20918000.51+188000</f>
        <v>21106000.51</v>
      </c>
      <c r="F125" s="168"/>
      <c r="G125" s="168">
        <f>-15058077.68-4638263.88</f>
        <v>-19696341.56</v>
      </c>
      <c r="H125" s="168"/>
      <c r="I125" s="167">
        <v>329802.29</v>
      </c>
      <c r="J125" s="168">
        <f t="shared" si="20"/>
        <v>22598231.220000003</v>
      </c>
    </row>
    <row r="126" spans="2:10" ht="12.75">
      <c r="B126" s="166" t="s">
        <v>49</v>
      </c>
      <c r="C126" s="167">
        <v>0</v>
      </c>
      <c r="D126" s="167"/>
      <c r="E126" s="168">
        <v>0</v>
      </c>
      <c r="F126" s="168"/>
      <c r="G126" s="168">
        <v>0</v>
      </c>
      <c r="H126" s="168">
        <v>0</v>
      </c>
      <c r="I126" s="167">
        <v>0</v>
      </c>
      <c r="J126" s="168">
        <f t="shared" si="20"/>
        <v>0</v>
      </c>
    </row>
    <row r="127" spans="2:10" ht="12.75">
      <c r="B127" s="166" t="s">
        <v>50</v>
      </c>
      <c r="C127" s="167">
        <v>1518294.13</v>
      </c>
      <c r="D127" s="167">
        <v>-422643</v>
      </c>
      <c r="E127" s="168">
        <v>0</v>
      </c>
      <c r="F127" s="168">
        <v>0</v>
      </c>
      <c r="G127" s="168">
        <v>0</v>
      </c>
      <c r="H127" s="168">
        <v>0</v>
      </c>
      <c r="I127" s="167">
        <v>422643</v>
      </c>
      <c r="J127" s="168">
        <f t="shared" si="20"/>
        <v>1518294.13</v>
      </c>
    </row>
    <row r="128" spans="2:10" ht="12.75">
      <c r="B128" s="166" t="s">
        <v>51</v>
      </c>
      <c r="C128" s="167">
        <v>1425813.08</v>
      </c>
      <c r="D128" s="167">
        <v>-196000</v>
      </c>
      <c r="E128" s="168">
        <f>1189144.27+91726.31</f>
        <v>1280870.58</v>
      </c>
      <c r="F128" s="168"/>
      <c r="G128" s="168">
        <v>-2146820.33</v>
      </c>
      <c r="H128" s="168">
        <v>0</v>
      </c>
      <c r="I128" s="168">
        <v>104273.69</v>
      </c>
      <c r="J128" s="168">
        <f t="shared" si="20"/>
        <v>468137.0200000001</v>
      </c>
    </row>
    <row r="129" spans="2:10" ht="12.75">
      <c r="B129" s="166" t="s">
        <v>52</v>
      </c>
      <c r="C129" s="167">
        <v>0</v>
      </c>
      <c r="D129" s="167"/>
      <c r="E129" s="168"/>
      <c r="F129" s="168"/>
      <c r="G129" s="168">
        <v>0</v>
      </c>
      <c r="H129" s="168"/>
      <c r="I129" s="168"/>
      <c r="J129" s="168">
        <f t="shared" si="20"/>
        <v>0</v>
      </c>
    </row>
    <row r="130" spans="2:10" ht="13.5" thickBot="1">
      <c r="B130" s="32" t="s">
        <v>9</v>
      </c>
      <c r="C130" s="169">
        <f>SUM(C124:C129)</f>
        <v>24350185.43</v>
      </c>
      <c r="D130" s="169">
        <f aca="true" t="shared" si="21" ref="D130:J130">SUM(D124:D129)</f>
        <v>-1165951.24</v>
      </c>
      <c r="E130" s="169">
        <f t="shared" si="21"/>
        <v>102185614.24000001</v>
      </c>
      <c r="F130" s="169">
        <f t="shared" si="21"/>
        <v>0</v>
      </c>
      <c r="G130" s="169">
        <f t="shared" si="21"/>
        <v>-105582488.75</v>
      </c>
      <c r="H130" s="169">
        <f t="shared" si="21"/>
        <v>0</v>
      </c>
      <c r="I130" s="169">
        <f t="shared" si="21"/>
        <v>6502481.220000001</v>
      </c>
      <c r="J130" s="169">
        <f t="shared" si="21"/>
        <v>26289840.900000006</v>
      </c>
    </row>
    <row r="131" ht="13.5" thickTop="1"/>
    <row r="134" spans="2:10" ht="12.75">
      <c r="B134" s="184"/>
      <c r="C134" s="160">
        <v>42186</v>
      </c>
      <c r="D134" s="160">
        <v>42186</v>
      </c>
      <c r="E134" s="161" t="s">
        <v>409</v>
      </c>
      <c r="F134" s="162" t="s">
        <v>92</v>
      </c>
      <c r="G134" s="161" t="str">
        <f>E134</f>
        <v>Till 31-03-2016</v>
      </c>
      <c r="H134" s="163"/>
      <c r="I134" s="161" t="str">
        <f>E134</f>
        <v>Till 31-03-2016</v>
      </c>
      <c r="J134" s="161" t="s">
        <v>410</v>
      </c>
    </row>
    <row r="135" spans="2:10" ht="12.75">
      <c r="B135" s="39"/>
      <c r="C135" s="164"/>
      <c r="D135" s="164"/>
      <c r="E135" s="165"/>
      <c r="F135" s="165"/>
      <c r="G135" s="165"/>
      <c r="H135" s="237" t="s">
        <v>344</v>
      </c>
      <c r="I135" s="165"/>
      <c r="J135" s="165"/>
    </row>
    <row r="136" spans="2:10" ht="12.75">
      <c r="B136" s="166" t="s">
        <v>47</v>
      </c>
      <c r="C136" s="167">
        <v>0</v>
      </c>
      <c r="D136" s="167">
        <v>0</v>
      </c>
      <c r="E136" s="168">
        <v>119424000</v>
      </c>
      <c r="F136" s="168">
        <v>0</v>
      </c>
      <c r="G136" s="168">
        <f>-68674544.63-25453335.01</f>
        <v>-94127879.64</v>
      </c>
      <c r="H136" s="168">
        <v>0</v>
      </c>
      <c r="I136" s="168">
        <v>0</v>
      </c>
      <c r="J136" s="168">
        <f aca="true" t="shared" si="22" ref="J136:J141">C136+D136+E136+F136+M136+G136+I136</f>
        <v>25296120.36</v>
      </c>
    </row>
    <row r="137" spans="2:10" ht="12.75">
      <c r="B137" s="166" t="s">
        <v>48</v>
      </c>
      <c r="C137" s="167">
        <v>21406078.22</v>
      </c>
      <c r="D137" s="167">
        <v>-547308.24</v>
      </c>
      <c r="E137" s="168">
        <f>21888620.51+188000</f>
        <v>22076620.51</v>
      </c>
      <c r="F137" s="168"/>
      <c r="G137" s="168">
        <f>-19620227.71-4640355.12</f>
        <v>-24260582.830000002</v>
      </c>
      <c r="H137" s="168"/>
      <c r="I137" s="167">
        <v>25656.32</v>
      </c>
      <c r="J137" s="168">
        <f t="shared" si="22"/>
        <v>18700463.98</v>
      </c>
    </row>
    <row r="138" spans="2:10" ht="12.75">
      <c r="B138" s="166" t="s">
        <v>49</v>
      </c>
      <c r="C138" s="167">
        <v>0</v>
      </c>
      <c r="D138" s="167"/>
      <c r="E138" s="168">
        <v>0</v>
      </c>
      <c r="F138" s="168"/>
      <c r="G138" s="168">
        <v>0</v>
      </c>
      <c r="H138" s="168">
        <v>0</v>
      </c>
      <c r="I138" s="167">
        <v>0</v>
      </c>
      <c r="J138" s="168">
        <f t="shared" si="22"/>
        <v>0</v>
      </c>
    </row>
    <row r="139" spans="2:10" ht="12.75">
      <c r="B139" s="166" t="s">
        <v>50</v>
      </c>
      <c r="C139" s="167">
        <v>1518294.13</v>
      </c>
      <c r="D139" s="167">
        <v>-422643</v>
      </c>
      <c r="E139" s="168">
        <v>0</v>
      </c>
      <c r="F139" s="168">
        <v>0</v>
      </c>
      <c r="G139" s="168">
        <v>0</v>
      </c>
      <c r="H139" s="168">
        <v>0</v>
      </c>
      <c r="I139" s="167">
        <v>422643</v>
      </c>
      <c r="J139" s="168">
        <f t="shared" si="22"/>
        <v>1518294.13</v>
      </c>
    </row>
    <row r="140" spans="2:10" ht="12.75">
      <c r="B140" s="166" t="s">
        <v>51</v>
      </c>
      <c r="C140" s="167">
        <v>1425813.08</v>
      </c>
      <c r="D140" s="167">
        <v>-196000</v>
      </c>
      <c r="E140" s="168">
        <f>1189144.27+190509.29</f>
        <v>1379653.56</v>
      </c>
      <c r="F140" s="168"/>
      <c r="G140" s="168">
        <v>-2387750.53</v>
      </c>
      <c r="H140" s="168">
        <v>0</v>
      </c>
      <c r="I140" s="168">
        <v>40995.77</v>
      </c>
      <c r="J140" s="168">
        <f t="shared" si="22"/>
        <v>262711.88000000035</v>
      </c>
    </row>
    <row r="141" spans="2:10" ht="12.75">
      <c r="B141" s="166" t="s">
        <v>52</v>
      </c>
      <c r="C141" s="167">
        <v>0</v>
      </c>
      <c r="D141" s="167"/>
      <c r="E141" s="168"/>
      <c r="F141" s="168"/>
      <c r="G141" s="168">
        <v>0</v>
      </c>
      <c r="H141" s="168"/>
      <c r="I141" s="168"/>
      <c r="J141" s="168">
        <f t="shared" si="22"/>
        <v>0</v>
      </c>
    </row>
    <row r="142" spans="2:10" ht="13.5" thickBot="1">
      <c r="B142" s="32" t="s">
        <v>9</v>
      </c>
      <c r="C142" s="169">
        <f>SUM(C136:C141)</f>
        <v>24350185.43</v>
      </c>
      <c r="D142" s="169">
        <f aca="true" t="shared" si="23" ref="D142:J142">SUM(D136:D141)</f>
        <v>-1165951.24</v>
      </c>
      <c r="E142" s="169">
        <f t="shared" si="23"/>
        <v>142880274.07</v>
      </c>
      <c r="F142" s="169">
        <f t="shared" si="23"/>
        <v>0</v>
      </c>
      <c r="G142" s="169">
        <f t="shared" si="23"/>
        <v>-120776213</v>
      </c>
      <c r="H142" s="169">
        <f t="shared" si="23"/>
        <v>0</v>
      </c>
      <c r="I142" s="169">
        <f t="shared" si="23"/>
        <v>489295.09</v>
      </c>
      <c r="J142" s="169">
        <f t="shared" si="23"/>
        <v>45777590.35000001</v>
      </c>
    </row>
    <row r="143" ht="13.5" thickTop="1"/>
    <row r="146" spans="2:10" ht="12.75">
      <c r="B146" s="184"/>
      <c r="C146" s="160">
        <v>42186</v>
      </c>
      <c r="D146" s="160">
        <v>42186</v>
      </c>
      <c r="E146" s="161" t="s">
        <v>413</v>
      </c>
      <c r="F146" s="162" t="s">
        <v>92</v>
      </c>
      <c r="G146" s="161" t="str">
        <f>E146</f>
        <v>Till 30-04-2016</v>
      </c>
      <c r="H146" s="163"/>
      <c r="I146" s="161" t="str">
        <f>E146</f>
        <v>Till 30-04-2016</v>
      </c>
      <c r="J146" s="161" t="s">
        <v>414</v>
      </c>
    </row>
    <row r="147" spans="2:10" ht="12.75">
      <c r="B147" s="39"/>
      <c r="C147" s="164"/>
      <c r="D147" s="164"/>
      <c r="E147" s="165"/>
      <c r="F147" s="165"/>
      <c r="G147" s="165"/>
      <c r="H147" s="237" t="s">
        <v>344</v>
      </c>
      <c r="I147" s="165"/>
      <c r="J147" s="165"/>
    </row>
    <row r="148" spans="2:10" ht="12.75">
      <c r="B148" s="166" t="s">
        <v>47</v>
      </c>
      <c r="C148" s="167">
        <v>0</v>
      </c>
      <c r="D148" s="167">
        <v>0</v>
      </c>
      <c r="E148" s="168">
        <v>119424000</v>
      </c>
      <c r="F148" s="168">
        <v>0</v>
      </c>
      <c r="G148" s="168">
        <f>-73917541.95-25453335.01</f>
        <v>-99370876.96000001</v>
      </c>
      <c r="H148" s="168">
        <v>0</v>
      </c>
      <c r="I148" s="168">
        <v>0</v>
      </c>
      <c r="J148" s="168">
        <f aca="true" t="shared" si="24" ref="J148:J153">C148+D148+E148+F148+M148+G148+I148</f>
        <v>20053123.03999999</v>
      </c>
    </row>
    <row r="149" spans="2:10" ht="12.75">
      <c r="B149" s="166" t="s">
        <v>48</v>
      </c>
      <c r="C149" s="167">
        <v>21406078.22</v>
      </c>
      <c r="D149" s="167">
        <v>-547308.24</v>
      </c>
      <c r="E149" s="168">
        <f>24699889.6+232764.73</f>
        <v>24932654.330000002</v>
      </c>
      <c r="F149" s="168"/>
      <c r="G149" s="168">
        <f>-21408238.23-4863788.86</f>
        <v>-26272027.09</v>
      </c>
      <c r="H149" s="168"/>
      <c r="I149" s="167">
        <v>42365.75</v>
      </c>
      <c r="J149" s="168">
        <f t="shared" si="24"/>
        <v>19561762.970000003</v>
      </c>
    </row>
    <row r="150" spans="2:10" ht="12.75">
      <c r="B150" s="166" t="s">
        <v>49</v>
      </c>
      <c r="C150" s="167">
        <v>0</v>
      </c>
      <c r="D150" s="167"/>
      <c r="E150" s="168">
        <v>0</v>
      </c>
      <c r="F150" s="168"/>
      <c r="G150" s="168">
        <v>0</v>
      </c>
      <c r="H150" s="168">
        <v>0</v>
      </c>
      <c r="I150" s="167">
        <v>0</v>
      </c>
      <c r="J150" s="168">
        <f t="shared" si="24"/>
        <v>0</v>
      </c>
    </row>
    <row r="151" spans="2:10" ht="12.75">
      <c r="B151" s="166" t="s">
        <v>50</v>
      </c>
      <c r="C151" s="167">
        <v>1518294.13</v>
      </c>
      <c r="D151" s="167">
        <v>-422643</v>
      </c>
      <c r="E151" s="168">
        <v>0</v>
      </c>
      <c r="F151" s="168">
        <v>0</v>
      </c>
      <c r="G151" s="168">
        <v>0</v>
      </c>
      <c r="H151" s="168">
        <v>0</v>
      </c>
      <c r="I151" s="167">
        <v>422643</v>
      </c>
      <c r="J151" s="168">
        <f t="shared" si="24"/>
        <v>1518294.13</v>
      </c>
    </row>
    <row r="152" spans="2:10" ht="12.75">
      <c r="B152" s="166" t="s">
        <v>51</v>
      </c>
      <c r="C152" s="167">
        <v>1425813.08</v>
      </c>
      <c r="D152" s="167">
        <v>-196000</v>
      </c>
      <c r="E152" s="168">
        <f>1189144.27+190509.29</f>
        <v>1379653.56</v>
      </c>
      <c r="F152" s="168"/>
      <c r="G152" s="168">
        <f>-2401841.97</f>
        <v>-2401841.97</v>
      </c>
      <c r="H152" s="168">
        <v>0</v>
      </c>
      <c r="I152" s="168">
        <v>55087.21</v>
      </c>
      <c r="J152" s="168">
        <f t="shared" si="24"/>
        <v>262711.87999999995</v>
      </c>
    </row>
    <row r="153" spans="2:10" ht="12.75">
      <c r="B153" s="166" t="s">
        <v>52</v>
      </c>
      <c r="C153" s="167">
        <v>0</v>
      </c>
      <c r="D153" s="167"/>
      <c r="E153" s="168"/>
      <c r="F153" s="168"/>
      <c r="G153" s="168">
        <v>0</v>
      </c>
      <c r="H153" s="168"/>
      <c r="I153" s="168"/>
      <c r="J153" s="168">
        <f t="shared" si="24"/>
        <v>0</v>
      </c>
    </row>
    <row r="154" spans="2:10" ht="13.5" thickBot="1">
      <c r="B154" s="32" t="s">
        <v>9</v>
      </c>
      <c r="C154" s="169">
        <f>SUM(C148:C153)</f>
        <v>24350185.43</v>
      </c>
      <c r="D154" s="169">
        <f aca="true" t="shared" si="25" ref="D154:J154">SUM(D148:D153)</f>
        <v>-1165951.24</v>
      </c>
      <c r="E154" s="169">
        <f t="shared" si="25"/>
        <v>145736307.89000002</v>
      </c>
      <c r="F154" s="169">
        <f t="shared" si="25"/>
        <v>0</v>
      </c>
      <c r="G154" s="169">
        <f t="shared" si="25"/>
        <v>-128044746.02000001</v>
      </c>
      <c r="H154" s="169">
        <f t="shared" si="25"/>
        <v>0</v>
      </c>
      <c r="I154" s="169">
        <f t="shared" si="25"/>
        <v>520095.96</v>
      </c>
      <c r="J154" s="169">
        <f t="shared" si="25"/>
        <v>41395892.019999996</v>
      </c>
    </row>
    <row r="155" ht="13.5" thickTop="1"/>
    <row r="157" spans="2:10" ht="12.75">
      <c r="B157" s="184"/>
      <c r="C157" s="160">
        <v>42186</v>
      </c>
      <c r="D157" s="160">
        <v>42186</v>
      </c>
      <c r="E157" s="161" t="s">
        <v>418</v>
      </c>
      <c r="F157" s="162" t="s">
        <v>92</v>
      </c>
      <c r="G157" s="161" t="str">
        <f>E157</f>
        <v>Till 31-05-2016</v>
      </c>
      <c r="H157" s="163"/>
      <c r="I157" s="161" t="str">
        <f>E157</f>
        <v>Till 31-05-2016</v>
      </c>
      <c r="J157" s="161" t="s">
        <v>419</v>
      </c>
    </row>
    <row r="158" spans="2:10" ht="12.75">
      <c r="B158" s="39"/>
      <c r="C158" s="164"/>
      <c r="D158" s="164"/>
      <c r="E158" s="165"/>
      <c r="F158" s="165"/>
      <c r="G158" s="165"/>
      <c r="H158" s="237" t="s">
        <v>344</v>
      </c>
      <c r="I158" s="165"/>
      <c r="J158" s="165"/>
    </row>
    <row r="159" spans="2:10" ht="12.75">
      <c r="B159" s="166" t="s">
        <v>47</v>
      </c>
      <c r="C159" s="167">
        <v>0</v>
      </c>
      <c r="D159" s="167">
        <v>0</v>
      </c>
      <c r="E159" s="168">
        <v>119424000</v>
      </c>
      <c r="F159" s="168">
        <v>0</v>
      </c>
      <c r="G159" s="168">
        <f>-79243920.56-29344002.76-41945</f>
        <v>-108629868.32000001</v>
      </c>
      <c r="H159" s="168">
        <v>0</v>
      </c>
      <c r="I159" s="168">
        <v>0</v>
      </c>
      <c r="J159" s="168">
        <f aca="true" t="shared" si="26" ref="J159:J164">C159+D159+E159+F159+M159+G159+I159</f>
        <v>10794131.679999992</v>
      </c>
    </row>
    <row r="160" spans="2:10" ht="12.75">
      <c r="B160" s="166" t="s">
        <v>48</v>
      </c>
      <c r="C160" s="167">
        <v>21406078.22</v>
      </c>
      <c r="D160" s="167">
        <v>-547308.24</v>
      </c>
      <c r="E160" s="168">
        <v>23391181.84</v>
      </c>
      <c r="F160" s="168"/>
      <c r="G160" s="168">
        <v>-27502958.63</v>
      </c>
      <c r="H160" s="168"/>
      <c r="I160" s="167">
        <v>44594.65</v>
      </c>
      <c r="J160" s="168">
        <f t="shared" si="26"/>
        <v>16791587.84</v>
      </c>
    </row>
    <row r="161" spans="2:10" ht="12.75">
      <c r="B161" s="166" t="s">
        <v>49</v>
      </c>
      <c r="C161" s="167">
        <v>0</v>
      </c>
      <c r="D161" s="167"/>
      <c r="E161" s="168">
        <v>0</v>
      </c>
      <c r="F161" s="168"/>
      <c r="G161" s="168">
        <v>0</v>
      </c>
      <c r="H161" s="168">
        <v>0</v>
      </c>
      <c r="I161" s="167">
        <v>0</v>
      </c>
      <c r="J161" s="168">
        <f t="shared" si="26"/>
        <v>0</v>
      </c>
    </row>
    <row r="162" spans="2:10" ht="12.75">
      <c r="B162" s="166" t="s">
        <v>50</v>
      </c>
      <c r="C162" s="167">
        <v>1518294.13</v>
      </c>
      <c r="D162" s="167">
        <v>-422643</v>
      </c>
      <c r="E162" s="168">
        <v>0</v>
      </c>
      <c r="F162" s="168">
        <v>0</v>
      </c>
      <c r="G162" s="168">
        <v>0</v>
      </c>
      <c r="H162" s="168">
        <v>0</v>
      </c>
      <c r="I162" s="167">
        <v>422643</v>
      </c>
      <c r="J162" s="168">
        <f t="shared" si="26"/>
        <v>1518294.13</v>
      </c>
    </row>
    <row r="163" spans="2:10" ht="12.75">
      <c r="B163" s="166" t="s">
        <v>51</v>
      </c>
      <c r="C163" s="167">
        <v>1425813.08</v>
      </c>
      <c r="D163" s="167">
        <f>-196000+49596.5</f>
        <v>-146403.5</v>
      </c>
      <c r="E163" s="168">
        <f>1200965.37+245596.5</f>
        <v>1446561.87</v>
      </c>
      <c r="F163" s="168"/>
      <c r="G163" s="168">
        <v>-2640544.36</v>
      </c>
      <c r="H163" s="168">
        <v>0</v>
      </c>
      <c r="I163" s="168">
        <v>51202.39</v>
      </c>
      <c r="J163" s="168">
        <f t="shared" si="26"/>
        <v>136629.48000000033</v>
      </c>
    </row>
    <row r="164" spans="2:10" ht="12.75">
      <c r="B164" s="166" t="s">
        <v>52</v>
      </c>
      <c r="C164" s="167">
        <v>0</v>
      </c>
      <c r="D164" s="167"/>
      <c r="E164" s="168"/>
      <c r="F164" s="168"/>
      <c r="G164" s="168">
        <v>0</v>
      </c>
      <c r="H164" s="168"/>
      <c r="I164" s="168"/>
      <c r="J164" s="168">
        <f t="shared" si="26"/>
        <v>0</v>
      </c>
    </row>
    <row r="165" spans="2:10" ht="13.5" thickBot="1">
      <c r="B165" s="32" t="s">
        <v>9</v>
      </c>
      <c r="C165" s="169">
        <f>SUM(C159:C164)</f>
        <v>24350185.43</v>
      </c>
      <c r="D165" s="169">
        <f aca="true" t="shared" si="27" ref="D165:J165">SUM(D159:D164)</f>
        <v>-1116354.74</v>
      </c>
      <c r="E165" s="169">
        <f t="shared" si="27"/>
        <v>144261743.71</v>
      </c>
      <c r="F165" s="169">
        <f t="shared" si="27"/>
        <v>0</v>
      </c>
      <c r="G165" s="169">
        <f t="shared" si="27"/>
        <v>-138773371.31000003</v>
      </c>
      <c r="H165" s="169">
        <f t="shared" si="27"/>
        <v>0</v>
      </c>
      <c r="I165" s="169">
        <f t="shared" si="27"/>
        <v>518440.04000000004</v>
      </c>
      <c r="J165" s="169">
        <f t="shared" si="27"/>
        <v>29240643.12999999</v>
      </c>
    </row>
    <row r="166" ht="13.5" thickTop="1"/>
    <row r="169" spans="2:10" ht="12.75">
      <c r="B169" s="184"/>
      <c r="C169" s="160">
        <v>42186</v>
      </c>
      <c r="D169" s="160">
        <v>42186</v>
      </c>
      <c r="E169" s="161" t="s">
        <v>423</v>
      </c>
      <c r="F169" s="162" t="s">
        <v>92</v>
      </c>
      <c r="G169" s="161" t="str">
        <f>E169</f>
        <v>Till 30-06-2016</v>
      </c>
      <c r="H169" s="163"/>
      <c r="I169" s="161" t="str">
        <f>E169</f>
        <v>Till 30-06-2016</v>
      </c>
      <c r="J169" s="161" t="s">
        <v>424</v>
      </c>
    </row>
    <row r="170" spans="2:10" ht="12.75">
      <c r="B170" s="39"/>
      <c r="C170" s="164"/>
      <c r="D170" s="164"/>
      <c r="E170" s="165"/>
      <c r="F170" s="165"/>
      <c r="G170" s="165"/>
      <c r="H170" s="237" t="s">
        <v>344</v>
      </c>
      <c r="I170" s="165"/>
      <c r="J170" s="165"/>
    </row>
    <row r="171" spans="2:10" ht="12.75">
      <c r="B171" s="166" t="s">
        <v>47</v>
      </c>
      <c r="C171" s="167">
        <v>0</v>
      </c>
      <c r="D171" s="167">
        <v>0</v>
      </c>
      <c r="E171" s="168">
        <v>119424000</v>
      </c>
      <c r="F171" s="168">
        <v>0</v>
      </c>
      <c r="G171" s="168">
        <f>-84693566.34-34424945</f>
        <v>-119118511.34</v>
      </c>
      <c r="H171" s="168">
        <v>0</v>
      </c>
      <c r="I171" s="168">
        <v>0</v>
      </c>
      <c r="J171" s="168">
        <f aca="true" t="shared" si="28" ref="J171:J176">C171+D171+E171+F171+M171+G171+I171</f>
        <v>305488.6599999964</v>
      </c>
    </row>
    <row r="172" spans="2:10" ht="12.75">
      <c r="B172" s="166" t="s">
        <v>48</v>
      </c>
      <c r="C172" s="167">
        <v>21406078.22</v>
      </c>
      <c r="D172" s="167">
        <v>-547308.24</v>
      </c>
      <c r="E172" s="168">
        <f>25371047.65+547308.24</f>
        <v>25918355.889999997</v>
      </c>
      <c r="F172" s="168"/>
      <c r="G172" s="168">
        <f>-25486628.01-5493093.48</f>
        <v>-30979721.490000002</v>
      </c>
      <c r="H172" s="168"/>
      <c r="I172" s="167">
        <v>560276.55</v>
      </c>
      <c r="J172" s="168">
        <f t="shared" si="28"/>
        <v>16357680.929999996</v>
      </c>
    </row>
    <row r="173" spans="2:10" ht="12.75">
      <c r="B173" s="166" t="s">
        <v>49</v>
      </c>
      <c r="C173" s="167">
        <v>0</v>
      </c>
      <c r="D173" s="167"/>
      <c r="E173" s="168">
        <v>0</v>
      </c>
      <c r="F173" s="168"/>
      <c r="G173" s="168">
        <v>0</v>
      </c>
      <c r="H173" s="168">
        <v>0</v>
      </c>
      <c r="I173" s="167">
        <v>0</v>
      </c>
      <c r="J173" s="168">
        <f t="shared" si="28"/>
        <v>0</v>
      </c>
    </row>
    <row r="174" spans="2:10" ht="12.75">
      <c r="B174" s="166" t="s">
        <v>50</v>
      </c>
      <c r="C174" s="167">
        <v>1518294.13</v>
      </c>
      <c r="D174" s="167">
        <v>-422643</v>
      </c>
      <c r="E174" s="168">
        <v>0</v>
      </c>
      <c r="F174" s="168">
        <v>0</v>
      </c>
      <c r="G174" s="168">
        <v>0</v>
      </c>
      <c r="H174" s="168">
        <v>0</v>
      </c>
      <c r="I174" s="167">
        <v>422643</v>
      </c>
      <c r="J174" s="168">
        <f t="shared" si="28"/>
        <v>1518294.13</v>
      </c>
    </row>
    <row r="175" spans="2:10" ht="12.75">
      <c r="B175" s="166" t="s">
        <v>51</v>
      </c>
      <c r="C175" s="167">
        <v>1425813.08</v>
      </c>
      <c r="D175" s="167">
        <v>-196000</v>
      </c>
      <c r="E175" s="168">
        <f>1250561.87+196000</f>
        <v>1446561.87</v>
      </c>
      <c r="F175" s="168"/>
      <c r="G175" s="168">
        <f>-2816950.25</f>
        <v>-2816950.25</v>
      </c>
      <c r="H175" s="168">
        <v>0</v>
      </c>
      <c r="I175" s="168">
        <v>239586.06</v>
      </c>
      <c r="J175" s="168">
        <f t="shared" si="28"/>
        <v>99010.76000000018</v>
      </c>
    </row>
    <row r="176" spans="2:10" ht="12.75">
      <c r="B176" s="166" t="s">
        <v>52</v>
      </c>
      <c r="C176" s="167">
        <v>0</v>
      </c>
      <c r="D176" s="167"/>
      <c r="E176" s="168"/>
      <c r="F176" s="168"/>
      <c r="G176" s="168">
        <v>0</v>
      </c>
      <c r="H176" s="168"/>
      <c r="I176" s="168"/>
      <c r="J176" s="168">
        <f t="shared" si="28"/>
        <v>0</v>
      </c>
    </row>
    <row r="177" spans="2:10" ht="13.5" thickBot="1">
      <c r="B177" s="32" t="s">
        <v>9</v>
      </c>
      <c r="C177" s="169">
        <f>SUM(C171:C176)</f>
        <v>24350185.43</v>
      </c>
      <c r="D177" s="169">
        <f aca="true" t="shared" si="29" ref="D177:J177">SUM(D171:D176)</f>
        <v>-1165951.24</v>
      </c>
      <c r="E177" s="169">
        <f t="shared" si="29"/>
        <v>146788917.76</v>
      </c>
      <c r="F177" s="169">
        <f t="shared" si="29"/>
        <v>0</v>
      </c>
      <c r="G177" s="169">
        <f t="shared" si="29"/>
        <v>-152915183.08</v>
      </c>
      <c r="H177" s="169">
        <f t="shared" si="29"/>
        <v>0</v>
      </c>
      <c r="I177" s="169">
        <f t="shared" si="29"/>
        <v>1222505.61</v>
      </c>
      <c r="J177" s="169">
        <f t="shared" si="29"/>
        <v>18280474.479999993</v>
      </c>
    </row>
    <row r="178" ht="13.5" thickTop="1"/>
    <row r="180" spans="2:10" ht="12.75">
      <c r="B180" s="184"/>
      <c r="C180" s="160">
        <v>42552</v>
      </c>
      <c r="D180" s="160">
        <v>42552</v>
      </c>
      <c r="E180" s="161" t="s">
        <v>427</v>
      </c>
      <c r="F180" s="162" t="s">
        <v>92</v>
      </c>
      <c r="G180" s="161" t="str">
        <f>E180</f>
        <v>Till 31-07-2016</v>
      </c>
      <c r="H180" s="163"/>
      <c r="I180" s="161" t="str">
        <f>E180</f>
        <v>Till 31-07-2016</v>
      </c>
      <c r="J180" s="161" t="s">
        <v>428</v>
      </c>
    </row>
    <row r="181" spans="2:10" ht="12.75">
      <c r="B181" s="39"/>
      <c r="C181" s="164"/>
      <c r="D181" s="164"/>
      <c r="E181" s="165"/>
      <c r="F181" s="165"/>
      <c r="G181" s="165"/>
      <c r="H181" s="237" t="s">
        <v>344</v>
      </c>
      <c r="I181" s="165"/>
      <c r="J181" s="165"/>
    </row>
    <row r="182" spans="2:10" ht="12.75">
      <c r="B182" s="166" t="s">
        <v>47</v>
      </c>
      <c r="C182" s="167">
        <v>0</v>
      </c>
      <c r="D182" s="167">
        <v>0</v>
      </c>
      <c r="E182" s="168">
        <v>36885000</v>
      </c>
      <c r="F182" s="168">
        <v>0</v>
      </c>
      <c r="G182" s="168">
        <v>-9334509.55</v>
      </c>
      <c r="H182" s="168">
        <v>0</v>
      </c>
      <c r="I182" s="168">
        <v>113259.55</v>
      </c>
      <c r="J182" s="168">
        <f aca="true" t="shared" si="30" ref="J182:J187">C182+D182+E182+F182+M182+G182+I182</f>
        <v>27663750</v>
      </c>
    </row>
    <row r="183" spans="2:10" ht="12.75">
      <c r="B183" s="166" t="s">
        <v>48</v>
      </c>
      <c r="C183" s="167">
        <v>16348313.05</v>
      </c>
      <c r="D183" s="167">
        <v>-50483.55</v>
      </c>
      <c r="E183" s="168">
        <v>1486513.7</v>
      </c>
      <c r="F183" s="168"/>
      <c r="G183" s="168">
        <v>-565420.45</v>
      </c>
      <c r="H183" s="168"/>
      <c r="I183" s="167">
        <v>615904</v>
      </c>
      <c r="J183" s="168">
        <f t="shared" si="30"/>
        <v>17834826.75</v>
      </c>
    </row>
    <row r="184" spans="2:10" ht="12.75">
      <c r="B184" s="166" t="s">
        <v>49</v>
      </c>
      <c r="C184" s="167">
        <v>0</v>
      </c>
      <c r="D184" s="167"/>
      <c r="E184" s="168">
        <v>0</v>
      </c>
      <c r="F184" s="168"/>
      <c r="G184" s="168">
        <v>0</v>
      </c>
      <c r="H184" s="168">
        <v>0</v>
      </c>
      <c r="I184" s="167">
        <v>0</v>
      </c>
      <c r="J184" s="168">
        <f t="shared" si="30"/>
        <v>0</v>
      </c>
    </row>
    <row r="185" spans="2:10" ht="12.75">
      <c r="B185" s="166" t="s">
        <v>50</v>
      </c>
      <c r="C185" s="167">
        <v>1518294.13</v>
      </c>
      <c r="D185" s="167">
        <v>-422643</v>
      </c>
      <c r="E185" s="168">
        <v>0</v>
      </c>
      <c r="F185" s="168">
        <v>0</v>
      </c>
      <c r="G185" s="168">
        <v>0</v>
      </c>
      <c r="H185" s="168">
        <v>0</v>
      </c>
      <c r="I185" s="167">
        <v>422643</v>
      </c>
      <c r="J185" s="168">
        <f t="shared" si="30"/>
        <v>1518294.13</v>
      </c>
    </row>
    <row r="186" spans="2:10" ht="12.75">
      <c r="B186" s="166" t="s">
        <v>51</v>
      </c>
      <c r="C186" s="167">
        <v>99010.76</v>
      </c>
      <c r="D186" s="167">
        <v>-391703.7</v>
      </c>
      <c r="E186" s="168">
        <v>0</v>
      </c>
      <c r="F186" s="168"/>
      <c r="G186" s="168">
        <v>-219380.38</v>
      </c>
      <c r="H186" s="168">
        <v>0</v>
      </c>
      <c r="I186" s="168">
        <v>611084.08</v>
      </c>
      <c r="J186" s="168">
        <f t="shared" si="30"/>
        <v>99010.75999999995</v>
      </c>
    </row>
    <row r="187" spans="2:10" ht="12.75">
      <c r="B187" s="166" t="s">
        <v>52</v>
      </c>
      <c r="C187" s="167">
        <v>0</v>
      </c>
      <c r="D187" s="167"/>
      <c r="E187" s="168"/>
      <c r="F187" s="168"/>
      <c r="G187" s="168">
        <v>0</v>
      </c>
      <c r="H187" s="168"/>
      <c r="I187" s="168"/>
      <c r="J187" s="168">
        <f t="shared" si="30"/>
        <v>0</v>
      </c>
    </row>
    <row r="188" spans="2:10" ht="13.5" thickBot="1">
      <c r="B188" s="32" t="s">
        <v>9</v>
      </c>
      <c r="C188" s="169">
        <f>SUM(C182:C187)</f>
        <v>17965617.94</v>
      </c>
      <c r="D188" s="169">
        <f aca="true" t="shared" si="31" ref="D188:J188">SUM(D182:D187)</f>
        <v>-864830.25</v>
      </c>
      <c r="E188" s="169">
        <f t="shared" si="31"/>
        <v>38371513.7</v>
      </c>
      <c r="F188" s="169">
        <f t="shared" si="31"/>
        <v>0</v>
      </c>
      <c r="G188" s="169">
        <f t="shared" si="31"/>
        <v>-10119310.38</v>
      </c>
      <c r="H188" s="169">
        <f t="shared" si="31"/>
        <v>0</v>
      </c>
      <c r="I188" s="169">
        <f t="shared" si="31"/>
        <v>1762890.63</v>
      </c>
      <c r="J188" s="169">
        <f t="shared" si="31"/>
        <v>47115881.64</v>
      </c>
    </row>
    <row r="189" ht="13.5" thickTop="1"/>
    <row r="191" spans="2:10" ht="12.75">
      <c r="B191" s="184"/>
      <c r="C191" s="160">
        <v>42552</v>
      </c>
      <c r="D191" s="160">
        <v>42552</v>
      </c>
      <c r="E191" s="161" t="s">
        <v>429</v>
      </c>
      <c r="F191" s="162" t="s">
        <v>92</v>
      </c>
      <c r="G191" s="161" t="str">
        <f>E191</f>
        <v>Till 31-08-2016</v>
      </c>
      <c r="H191" s="163"/>
      <c r="I191" s="161" t="str">
        <f>E191</f>
        <v>Till 31-08-2016</v>
      </c>
      <c r="J191" s="161" t="s">
        <v>430</v>
      </c>
    </row>
    <row r="192" spans="2:10" ht="12.75">
      <c r="B192" s="39"/>
      <c r="C192" s="164"/>
      <c r="D192" s="164"/>
      <c r="E192" s="165"/>
      <c r="F192" s="165"/>
      <c r="G192" s="165"/>
      <c r="H192" s="237" t="s">
        <v>344</v>
      </c>
      <c r="I192" s="165"/>
      <c r="J192" s="165"/>
    </row>
    <row r="193" spans="2:10" ht="12.75">
      <c r="B193" s="166" t="s">
        <v>47</v>
      </c>
      <c r="C193" s="167">
        <v>0</v>
      </c>
      <c r="D193" s="167">
        <v>0</v>
      </c>
      <c r="E193" s="168">
        <v>42537000</v>
      </c>
      <c r="F193" s="168">
        <v>0</v>
      </c>
      <c r="G193" s="168">
        <f>-18731781-233841</f>
        <v>-18965622</v>
      </c>
      <c r="H193" s="168">
        <v>0</v>
      </c>
      <c r="I193" s="168">
        <v>167841</v>
      </c>
      <c r="J193" s="168">
        <f aca="true" t="shared" si="32" ref="J193:J198">C193+D193+E193+F193+M193+G193+I193</f>
        <v>23739219</v>
      </c>
    </row>
    <row r="194" spans="2:10" ht="12.75">
      <c r="B194" s="166" t="s">
        <v>48</v>
      </c>
      <c r="C194" s="167">
        <v>16348313.05</v>
      </c>
      <c r="D194" s="167">
        <v>-1536997.25</v>
      </c>
      <c r="E194" s="168">
        <v>8885539.5</v>
      </c>
      <c r="F194" s="168"/>
      <c r="G194" s="168">
        <f>-3183442.52-156784.04</f>
        <v>-3340226.56</v>
      </c>
      <c r="H194" s="168"/>
      <c r="I194" s="167">
        <v>71676.25</v>
      </c>
      <c r="J194" s="168">
        <f t="shared" si="32"/>
        <v>20428304.990000002</v>
      </c>
    </row>
    <row r="195" spans="2:10" ht="12.75">
      <c r="B195" s="166" t="s">
        <v>49</v>
      </c>
      <c r="C195" s="167">
        <v>0</v>
      </c>
      <c r="D195" s="167"/>
      <c r="E195" s="168">
        <v>0</v>
      </c>
      <c r="F195" s="168"/>
      <c r="G195" s="168">
        <v>0</v>
      </c>
      <c r="H195" s="168">
        <v>0</v>
      </c>
      <c r="I195" s="167">
        <v>0</v>
      </c>
      <c r="J195" s="168">
        <f t="shared" si="32"/>
        <v>0</v>
      </c>
    </row>
    <row r="196" spans="2:10" ht="12.75">
      <c r="B196" s="166" t="s">
        <v>50</v>
      </c>
      <c r="C196" s="167">
        <v>1518294.13</v>
      </c>
      <c r="D196" s="167">
        <v>-422643</v>
      </c>
      <c r="E196" s="168">
        <v>0</v>
      </c>
      <c r="F196" s="168">
        <v>0</v>
      </c>
      <c r="G196" s="168">
        <v>0</v>
      </c>
      <c r="H196" s="168">
        <v>0</v>
      </c>
      <c r="I196" s="167">
        <v>422643</v>
      </c>
      <c r="J196" s="168">
        <f t="shared" si="32"/>
        <v>1518294.13</v>
      </c>
    </row>
    <row r="197" spans="2:10" ht="12.75">
      <c r="B197" s="166" t="s">
        <v>51</v>
      </c>
      <c r="C197" s="167">
        <v>99010.76</v>
      </c>
      <c r="D197" s="167">
        <v>-391703.7</v>
      </c>
      <c r="E197" s="168">
        <v>111691.52</v>
      </c>
      <c r="F197" s="168"/>
      <c r="G197" s="168">
        <v>-494206.72</v>
      </c>
      <c r="H197" s="168">
        <v>0</v>
      </c>
      <c r="I197" s="168">
        <f>632009.14+142209.76</f>
        <v>774218.9</v>
      </c>
      <c r="J197" s="168">
        <f t="shared" si="32"/>
        <v>99010.76000000013</v>
      </c>
    </row>
    <row r="198" spans="2:10" ht="12.75">
      <c r="B198" s="166" t="s">
        <v>52</v>
      </c>
      <c r="C198" s="167">
        <v>0</v>
      </c>
      <c r="D198" s="167"/>
      <c r="E198" s="168"/>
      <c r="F198" s="168"/>
      <c r="G198" s="168">
        <v>0</v>
      </c>
      <c r="H198" s="168"/>
      <c r="I198" s="168"/>
      <c r="J198" s="168">
        <f t="shared" si="32"/>
        <v>0</v>
      </c>
    </row>
    <row r="199" spans="2:10" ht="13.5" thickBot="1">
      <c r="B199" s="32" t="s">
        <v>9</v>
      </c>
      <c r="C199" s="169">
        <f>SUM(C193:C198)</f>
        <v>17965617.94</v>
      </c>
      <c r="D199" s="169">
        <f aca="true" t="shared" si="33" ref="D199:J199">SUM(D193:D198)</f>
        <v>-2351343.95</v>
      </c>
      <c r="E199" s="169">
        <f t="shared" si="33"/>
        <v>51534231.02</v>
      </c>
      <c r="F199" s="169">
        <f t="shared" si="33"/>
        <v>0</v>
      </c>
      <c r="G199" s="169">
        <f t="shared" si="33"/>
        <v>-22800055.279999997</v>
      </c>
      <c r="H199" s="169">
        <f t="shared" si="33"/>
        <v>0</v>
      </c>
      <c r="I199" s="169">
        <f t="shared" si="33"/>
        <v>1436379.15</v>
      </c>
      <c r="J199" s="169">
        <f t="shared" si="33"/>
        <v>45784828.88</v>
      </c>
    </row>
    <row r="200" ht="13.5" thickTop="1"/>
    <row r="203" spans="2:10" ht="12.75">
      <c r="B203" s="184"/>
      <c r="C203" s="160">
        <v>42552</v>
      </c>
      <c r="D203" s="160">
        <v>42552</v>
      </c>
      <c r="E203" s="161" t="s">
        <v>435</v>
      </c>
      <c r="F203" s="162" t="s">
        <v>92</v>
      </c>
      <c r="G203" s="161" t="str">
        <f>E203</f>
        <v>Till 30-09-2016</v>
      </c>
      <c r="H203" s="163"/>
      <c r="I203" s="161" t="str">
        <f>E203</f>
        <v>Till 30-09-2016</v>
      </c>
      <c r="J203" s="161" t="s">
        <v>436</v>
      </c>
    </row>
    <row r="204" spans="2:10" ht="12.75">
      <c r="B204" s="39"/>
      <c r="C204" s="164"/>
      <c r="D204" s="164"/>
      <c r="E204" s="165"/>
      <c r="F204" s="165"/>
      <c r="G204" s="165"/>
      <c r="H204" s="237" t="s">
        <v>344</v>
      </c>
      <c r="I204" s="165"/>
      <c r="J204" s="165"/>
    </row>
    <row r="205" spans="2:10" ht="12.75">
      <c r="B205" s="166" t="s">
        <v>47</v>
      </c>
      <c r="C205" s="167">
        <v>0</v>
      </c>
      <c r="D205" s="167">
        <v>0</v>
      </c>
      <c r="E205" s="168">
        <v>44012000</v>
      </c>
      <c r="F205" s="168">
        <v>0</v>
      </c>
      <c r="G205" s="168">
        <f>-28206981.65-1458612.49</f>
        <v>-29665594.139999997</v>
      </c>
      <c r="H205" s="168">
        <v>0</v>
      </c>
      <c r="I205" s="168">
        <v>0</v>
      </c>
      <c r="J205" s="168">
        <f aca="true" t="shared" si="34" ref="J205:J210">C205+D205+E205+F205+M205+G205+I205</f>
        <v>14346405.860000003</v>
      </c>
    </row>
    <row r="206" spans="2:10" ht="12.75">
      <c r="B206" s="166" t="s">
        <v>48</v>
      </c>
      <c r="C206" s="167">
        <v>16348313.05</v>
      </c>
      <c r="D206" s="167">
        <v>-1536997.25</v>
      </c>
      <c r="E206" s="168">
        <v>8979539.5</v>
      </c>
      <c r="F206" s="168"/>
      <c r="G206" s="168">
        <f>-3788387.17-156784.04</f>
        <v>-3945171.21</v>
      </c>
      <c r="H206" s="168"/>
      <c r="I206" s="167">
        <v>0</v>
      </c>
      <c r="J206" s="168">
        <f t="shared" si="34"/>
        <v>19845684.09</v>
      </c>
    </row>
    <row r="207" spans="2:10" ht="12.75">
      <c r="B207" s="166" t="s">
        <v>49</v>
      </c>
      <c r="C207" s="167">
        <v>0</v>
      </c>
      <c r="D207" s="167"/>
      <c r="E207" s="168">
        <v>0</v>
      </c>
      <c r="F207" s="168"/>
      <c r="G207" s="168">
        <v>0</v>
      </c>
      <c r="H207" s="168">
        <v>0</v>
      </c>
      <c r="I207" s="167">
        <v>0</v>
      </c>
      <c r="J207" s="168">
        <f t="shared" si="34"/>
        <v>0</v>
      </c>
    </row>
    <row r="208" spans="2:10" ht="12.75">
      <c r="B208" s="166" t="s">
        <v>50</v>
      </c>
      <c r="C208" s="167">
        <v>1518294.13</v>
      </c>
      <c r="D208" s="167">
        <v>-422643</v>
      </c>
      <c r="E208" s="168">
        <v>0</v>
      </c>
      <c r="F208" s="168">
        <v>0</v>
      </c>
      <c r="G208" s="168">
        <v>0</v>
      </c>
      <c r="H208" s="168">
        <v>0</v>
      </c>
      <c r="I208" s="167">
        <v>422643</v>
      </c>
      <c r="J208" s="168">
        <f t="shared" si="34"/>
        <v>1518294.13</v>
      </c>
    </row>
    <row r="209" spans="2:10" ht="12.75">
      <c r="B209" s="166" t="s">
        <v>51</v>
      </c>
      <c r="C209" s="167">
        <v>99010.76</v>
      </c>
      <c r="D209" s="167">
        <v>-391703.7</v>
      </c>
      <c r="E209" s="168">
        <v>845024.85</v>
      </c>
      <c r="F209" s="168"/>
      <c r="G209" s="168">
        <v>-1296326.85</v>
      </c>
      <c r="H209" s="168">
        <v>0</v>
      </c>
      <c r="I209" s="168">
        <v>843005.7</v>
      </c>
      <c r="J209" s="168">
        <f t="shared" si="34"/>
        <v>99010.75999999978</v>
      </c>
    </row>
    <row r="210" spans="2:10" ht="12.75">
      <c r="B210" s="166" t="s">
        <v>52</v>
      </c>
      <c r="C210" s="167">
        <v>0</v>
      </c>
      <c r="D210" s="167"/>
      <c r="E210" s="168"/>
      <c r="F210" s="168"/>
      <c r="G210" s="168">
        <v>0</v>
      </c>
      <c r="H210" s="168"/>
      <c r="I210" s="168"/>
      <c r="J210" s="168">
        <f t="shared" si="34"/>
        <v>0</v>
      </c>
    </row>
    <row r="211" spans="2:10" ht="13.5" thickBot="1">
      <c r="B211" s="32" t="s">
        <v>9</v>
      </c>
      <c r="C211" s="169">
        <f>SUM(C205:C210)</f>
        <v>17965617.94</v>
      </c>
      <c r="D211" s="169">
        <f aca="true" t="shared" si="35" ref="D211:J211">SUM(D205:D210)</f>
        <v>-2351343.95</v>
      </c>
      <c r="E211" s="169">
        <f t="shared" si="35"/>
        <v>53836564.35</v>
      </c>
      <c r="F211" s="169">
        <f t="shared" si="35"/>
        <v>0</v>
      </c>
      <c r="G211" s="169">
        <f t="shared" si="35"/>
        <v>-34907092.199999996</v>
      </c>
      <c r="H211" s="169">
        <f t="shared" si="35"/>
        <v>0</v>
      </c>
      <c r="I211" s="169">
        <f t="shared" si="35"/>
        <v>1265648.7</v>
      </c>
      <c r="J211" s="169">
        <f t="shared" si="35"/>
        <v>35809394.84</v>
      </c>
    </row>
    <row r="212" ht="13.5" thickTop="1"/>
    <row r="215" spans="2:10" ht="12.75">
      <c r="B215" s="184"/>
      <c r="C215" s="160">
        <v>42552</v>
      </c>
      <c r="D215" s="160">
        <v>42552</v>
      </c>
      <c r="E215" s="161" t="s">
        <v>437</v>
      </c>
      <c r="F215" s="162" t="s">
        <v>92</v>
      </c>
      <c r="G215" s="161" t="str">
        <f>E215</f>
        <v>Till 31-10-2016</v>
      </c>
      <c r="H215" s="163"/>
      <c r="I215" s="161" t="str">
        <f>E215</f>
        <v>Till 31-10-2016</v>
      </c>
      <c r="J215" s="161" t="s">
        <v>438</v>
      </c>
    </row>
    <row r="216" spans="2:10" ht="12.75">
      <c r="B216" s="39"/>
      <c r="C216" s="164"/>
      <c r="D216" s="164"/>
      <c r="E216" s="165"/>
      <c r="F216" s="165"/>
      <c r="G216" s="165"/>
      <c r="H216" s="237" t="s">
        <v>344</v>
      </c>
      <c r="I216" s="165"/>
      <c r="J216" s="165"/>
    </row>
    <row r="217" spans="2:10" ht="12.75">
      <c r="B217" s="166" t="s">
        <v>47</v>
      </c>
      <c r="C217" s="167">
        <v>0</v>
      </c>
      <c r="D217" s="167">
        <v>0</v>
      </c>
      <c r="E217" s="168">
        <v>44012000</v>
      </c>
      <c r="F217" s="168">
        <v>0</v>
      </c>
      <c r="G217" s="168">
        <f>-37708160.24-3273348.49</f>
        <v>-40981508.730000004</v>
      </c>
      <c r="H217" s="168">
        <v>0</v>
      </c>
      <c r="I217" s="168">
        <v>57935</v>
      </c>
      <c r="J217" s="168">
        <f aca="true" t="shared" si="36" ref="J217:J222">C217+D217+E217+F217+M217+G217+I217</f>
        <v>3088426.269999996</v>
      </c>
    </row>
    <row r="218" spans="2:10" ht="12.75">
      <c r="B218" s="166" t="s">
        <v>48</v>
      </c>
      <c r="C218" s="167">
        <v>16348313.05</v>
      </c>
      <c r="D218" s="167">
        <v>-1536997.25</v>
      </c>
      <c r="E218" s="168">
        <v>15027110.9</v>
      </c>
      <c r="F218" s="168"/>
      <c r="G218" s="168">
        <f>-8468359-156784.04</f>
        <v>-8625143.04</v>
      </c>
      <c r="H218" s="168"/>
      <c r="I218" s="167">
        <v>0</v>
      </c>
      <c r="J218" s="168">
        <f t="shared" si="36"/>
        <v>21213283.660000004</v>
      </c>
    </row>
    <row r="219" spans="2:10" ht="12.75">
      <c r="B219" s="166" t="s">
        <v>49</v>
      </c>
      <c r="C219" s="167">
        <v>0</v>
      </c>
      <c r="D219" s="167"/>
      <c r="E219" s="168">
        <v>0</v>
      </c>
      <c r="F219" s="168"/>
      <c r="G219" s="168">
        <v>0</v>
      </c>
      <c r="H219" s="168">
        <v>0</v>
      </c>
      <c r="I219" s="167">
        <v>0</v>
      </c>
      <c r="J219" s="168">
        <f t="shared" si="36"/>
        <v>0</v>
      </c>
    </row>
    <row r="220" spans="2:10" ht="12.75">
      <c r="B220" s="166" t="s">
        <v>50</v>
      </c>
      <c r="C220" s="167">
        <v>1518294.13</v>
      </c>
      <c r="D220" s="167">
        <v>-422643</v>
      </c>
      <c r="E220" s="168">
        <v>0</v>
      </c>
      <c r="F220" s="168">
        <v>0</v>
      </c>
      <c r="G220" s="168">
        <v>0</v>
      </c>
      <c r="H220" s="168">
        <v>0</v>
      </c>
      <c r="I220" s="167">
        <v>422643</v>
      </c>
      <c r="J220" s="168">
        <f t="shared" si="36"/>
        <v>1518294.13</v>
      </c>
    </row>
    <row r="221" spans="2:10" ht="12.75">
      <c r="B221" s="166" t="s">
        <v>51</v>
      </c>
      <c r="C221" s="167">
        <v>99010.76</v>
      </c>
      <c r="D221" s="167">
        <v>-391703.7</v>
      </c>
      <c r="E221" s="168">
        <v>845024.85</v>
      </c>
      <c r="F221" s="168"/>
      <c r="G221" s="168">
        <v>-1576930.51</v>
      </c>
      <c r="H221" s="168">
        <v>0</v>
      </c>
      <c r="I221" s="168">
        <v>1123609.36</v>
      </c>
      <c r="J221" s="168">
        <f t="shared" si="36"/>
        <v>99010.76000000001</v>
      </c>
    </row>
    <row r="222" spans="2:10" ht="12.75">
      <c r="B222" s="166" t="s">
        <v>52</v>
      </c>
      <c r="C222" s="167">
        <v>0</v>
      </c>
      <c r="D222" s="167"/>
      <c r="E222" s="168"/>
      <c r="F222" s="168"/>
      <c r="G222" s="168">
        <v>0</v>
      </c>
      <c r="H222" s="168"/>
      <c r="I222" s="168"/>
      <c r="J222" s="168">
        <f t="shared" si="36"/>
        <v>0</v>
      </c>
    </row>
    <row r="223" spans="2:10" ht="13.5" thickBot="1">
      <c r="B223" s="32" t="s">
        <v>9</v>
      </c>
      <c r="C223" s="169">
        <f>SUM(C217:C222)</f>
        <v>17965617.94</v>
      </c>
      <c r="D223" s="169">
        <f aca="true" t="shared" si="37" ref="D223:J223">SUM(D217:D222)</f>
        <v>-2351343.95</v>
      </c>
      <c r="E223" s="169">
        <f t="shared" si="37"/>
        <v>59884135.75</v>
      </c>
      <c r="F223" s="169">
        <f t="shared" si="37"/>
        <v>0</v>
      </c>
      <c r="G223" s="169">
        <f t="shared" si="37"/>
        <v>-51183582.28</v>
      </c>
      <c r="H223" s="169">
        <f t="shared" si="37"/>
        <v>0</v>
      </c>
      <c r="I223" s="169">
        <f t="shared" si="37"/>
        <v>1604187.36</v>
      </c>
      <c r="J223" s="169">
        <f t="shared" si="37"/>
        <v>25919014.82</v>
      </c>
    </row>
    <row r="224" ht="13.5" thickTop="1"/>
    <row r="227" spans="2:10" ht="12.75">
      <c r="B227" s="184"/>
      <c r="C227" s="160">
        <v>42552</v>
      </c>
      <c r="D227" s="160">
        <v>42552</v>
      </c>
      <c r="E227" s="161" t="s">
        <v>441</v>
      </c>
      <c r="F227" s="162" t="s">
        <v>92</v>
      </c>
      <c r="G227" s="161" t="str">
        <f>E227</f>
        <v>Till 30-11-2016</v>
      </c>
      <c r="H227" s="163"/>
      <c r="I227" s="161" t="str">
        <f>E227</f>
        <v>Till 30-11-2016</v>
      </c>
      <c r="J227" s="161" t="s">
        <v>442</v>
      </c>
    </row>
    <row r="228" spans="2:10" ht="12.75">
      <c r="B228" s="39"/>
      <c r="C228" s="164"/>
      <c r="D228" s="164"/>
      <c r="E228" s="165"/>
      <c r="F228" s="165"/>
      <c r="G228" s="165"/>
      <c r="H228" s="237" t="s">
        <v>344</v>
      </c>
      <c r="I228" s="165"/>
      <c r="J228" s="165"/>
    </row>
    <row r="229" spans="2:10" ht="12.75">
      <c r="B229" s="166" t="s">
        <v>47</v>
      </c>
      <c r="C229" s="167">
        <v>0</v>
      </c>
      <c r="D229" s="167">
        <v>0</v>
      </c>
      <c r="E229" s="168">
        <v>46093000</v>
      </c>
      <c r="F229" s="168">
        <v>0</v>
      </c>
      <c r="G229" s="168">
        <f>-47165207.78-6706449.93</f>
        <v>-53871657.71</v>
      </c>
      <c r="H229" s="168">
        <v>0</v>
      </c>
      <c r="I229" s="168">
        <v>10598699.93</v>
      </c>
      <c r="J229" s="168">
        <f aca="true" t="shared" si="38" ref="J229:J234">C229+D229+E229+F229+M229+G229+I229</f>
        <v>2820042.219999999</v>
      </c>
    </row>
    <row r="230" spans="2:10" ht="12.75">
      <c r="B230" s="166" t="s">
        <v>48</v>
      </c>
      <c r="C230" s="167">
        <v>16348313.05</v>
      </c>
      <c r="D230" s="167">
        <v>-1536997.25</v>
      </c>
      <c r="E230" s="168">
        <v>28598623.8</v>
      </c>
      <c r="F230" s="168"/>
      <c r="G230" s="168">
        <f>-10100645.22-169184.04</f>
        <v>-10269829.26</v>
      </c>
      <c r="H230" s="168"/>
      <c r="I230" s="167">
        <v>8714.38</v>
      </c>
      <c r="J230" s="168">
        <f t="shared" si="38"/>
        <v>33148824.720000003</v>
      </c>
    </row>
    <row r="231" spans="2:10" ht="12.75">
      <c r="B231" s="166" t="s">
        <v>49</v>
      </c>
      <c r="C231" s="167">
        <v>0</v>
      </c>
      <c r="D231" s="167"/>
      <c r="E231" s="168">
        <v>0</v>
      </c>
      <c r="F231" s="168"/>
      <c r="G231" s="168">
        <v>0</v>
      </c>
      <c r="H231" s="168">
        <v>0</v>
      </c>
      <c r="I231" s="167">
        <v>0</v>
      </c>
      <c r="J231" s="168">
        <f t="shared" si="38"/>
        <v>0</v>
      </c>
    </row>
    <row r="232" spans="2:10" ht="12.75">
      <c r="B232" s="166" t="s">
        <v>50</v>
      </c>
      <c r="C232" s="167">
        <v>1518294.13</v>
      </c>
      <c r="D232" s="167">
        <v>-422643</v>
      </c>
      <c r="E232" s="168">
        <v>0</v>
      </c>
      <c r="F232" s="168">
        <v>0</v>
      </c>
      <c r="G232" s="168">
        <v>0</v>
      </c>
      <c r="H232" s="168">
        <v>0</v>
      </c>
      <c r="I232" s="167">
        <v>422643</v>
      </c>
      <c r="J232" s="168">
        <f t="shared" si="38"/>
        <v>1518294.13</v>
      </c>
    </row>
    <row r="233" spans="2:10" ht="12.75">
      <c r="B233" s="166" t="s">
        <v>51</v>
      </c>
      <c r="C233" s="167">
        <v>99010.76</v>
      </c>
      <c r="D233" s="167">
        <v>-391703.7</v>
      </c>
      <c r="E233" s="168">
        <v>1809047.05</v>
      </c>
      <c r="F233" s="168"/>
      <c r="G233" s="168">
        <v>-1654758.5</v>
      </c>
      <c r="H233" s="168">
        <v>0</v>
      </c>
      <c r="I233" s="168">
        <v>237415.15</v>
      </c>
      <c r="J233" s="168">
        <f t="shared" si="38"/>
        <v>99010.7600000001</v>
      </c>
    </row>
    <row r="234" spans="2:10" ht="12.75">
      <c r="B234" s="166" t="s">
        <v>52</v>
      </c>
      <c r="C234" s="167">
        <v>0</v>
      </c>
      <c r="D234" s="167"/>
      <c r="E234" s="168"/>
      <c r="F234" s="168"/>
      <c r="G234" s="168">
        <v>0</v>
      </c>
      <c r="H234" s="168"/>
      <c r="I234" s="168"/>
      <c r="J234" s="168">
        <f t="shared" si="38"/>
        <v>0</v>
      </c>
    </row>
    <row r="235" spans="2:10" ht="13.5" thickBot="1">
      <c r="B235" s="32" t="s">
        <v>9</v>
      </c>
      <c r="C235" s="169">
        <f>SUM(C229:C234)</f>
        <v>17965617.94</v>
      </c>
      <c r="D235" s="169">
        <f aca="true" t="shared" si="39" ref="D235:J235">SUM(D229:D234)</f>
        <v>-2351343.95</v>
      </c>
      <c r="E235" s="169">
        <f t="shared" si="39"/>
        <v>76500670.85</v>
      </c>
      <c r="F235" s="169">
        <f t="shared" si="39"/>
        <v>0</v>
      </c>
      <c r="G235" s="169">
        <f t="shared" si="39"/>
        <v>-65796245.47</v>
      </c>
      <c r="H235" s="169">
        <f t="shared" si="39"/>
        <v>0</v>
      </c>
      <c r="I235" s="169">
        <f t="shared" si="39"/>
        <v>11267472.46</v>
      </c>
      <c r="J235" s="169">
        <f t="shared" si="39"/>
        <v>37586171.83</v>
      </c>
    </row>
    <row r="236" ht="13.5" thickTop="1"/>
    <row r="239" spans="2:10" ht="12.75">
      <c r="B239" s="184"/>
      <c r="C239" s="160">
        <v>42552</v>
      </c>
      <c r="D239" s="160">
        <v>42552</v>
      </c>
      <c r="E239" s="161" t="s">
        <v>448</v>
      </c>
      <c r="F239" s="162" t="s">
        <v>92</v>
      </c>
      <c r="G239" s="161" t="str">
        <f>E239</f>
        <v>Till 31-12-2016</v>
      </c>
      <c r="H239" s="163"/>
      <c r="I239" s="161" t="str">
        <f>E239</f>
        <v>Till 31-12-2016</v>
      </c>
      <c r="J239" s="161" t="s">
        <v>449</v>
      </c>
    </row>
    <row r="240" spans="2:10" ht="12.75">
      <c r="B240" s="39"/>
      <c r="C240" s="164"/>
      <c r="D240" s="164"/>
      <c r="E240" s="165"/>
      <c r="F240" s="165"/>
      <c r="G240" s="165"/>
      <c r="H240" s="237" t="s">
        <v>344</v>
      </c>
      <c r="I240" s="165"/>
      <c r="J240" s="165"/>
    </row>
    <row r="241" spans="2:10" ht="12.75">
      <c r="B241" s="166" t="s">
        <v>47</v>
      </c>
      <c r="C241" s="167">
        <v>0</v>
      </c>
      <c r="D241" s="167">
        <v>0</v>
      </c>
      <c r="E241" s="168">
        <v>90561000</v>
      </c>
      <c r="F241" s="168">
        <v>0</v>
      </c>
      <c r="G241" s="168">
        <f>-54625326.72-13977801.25</f>
        <v>-68603127.97</v>
      </c>
      <c r="H241" s="168">
        <v>0</v>
      </c>
      <c r="I241" s="168">
        <v>159655</v>
      </c>
      <c r="J241" s="168">
        <f aca="true" t="shared" si="40" ref="J241:J246">C241+D241+E241+F241+M241+G241+I241</f>
        <v>22117527.03</v>
      </c>
    </row>
    <row r="242" spans="2:10" ht="12.75">
      <c r="B242" s="166" t="s">
        <v>48</v>
      </c>
      <c r="C242" s="167">
        <v>13357030.52</v>
      </c>
      <c r="D242" s="167">
        <v>-1536997.25</v>
      </c>
      <c r="E242" s="168">
        <v>28598623.8</v>
      </c>
      <c r="F242" s="168"/>
      <c r="G242" s="168">
        <f>-10755545.64-215315.62</f>
        <v>-10970861.26</v>
      </c>
      <c r="H242" s="168"/>
      <c r="I242" s="167">
        <v>13900.28</v>
      </c>
      <c r="J242" s="168">
        <f t="shared" si="40"/>
        <v>29461696.090000004</v>
      </c>
    </row>
    <row r="243" spans="2:10" ht="12.75">
      <c r="B243" s="166" t="s">
        <v>49</v>
      </c>
      <c r="C243" s="167">
        <v>0</v>
      </c>
      <c r="D243" s="167"/>
      <c r="E243" s="168">
        <v>0</v>
      </c>
      <c r="F243" s="168"/>
      <c r="G243" s="168">
        <v>0</v>
      </c>
      <c r="H243" s="168">
        <v>0</v>
      </c>
      <c r="I243" s="167">
        <v>0</v>
      </c>
      <c r="J243" s="168">
        <f t="shared" si="40"/>
        <v>0</v>
      </c>
    </row>
    <row r="244" spans="2:10" ht="12.75">
      <c r="B244" s="166" t="s">
        <v>50</v>
      </c>
      <c r="C244" s="167">
        <v>4509576.66</v>
      </c>
      <c r="D244" s="167">
        <v>-422643</v>
      </c>
      <c r="E244" s="168">
        <v>0</v>
      </c>
      <c r="F244" s="168">
        <v>0</v>
      </c>
      <c r="G244" s="168">
        <v>0</v>
      </c>
      <c r="H244" s="168">
        <v>0</v>
      </c>
      <c r="I244" s="167">
        <v>422643</v>
      </c>
      <c r="J244" s="168">
        <f t="shared" si="40"/>
        <v>4509576.66</v>
      </c>
    </row>
    <row r="245" spans="2:10" ht="12.75">
      <c r="B245" s="166" t="s">
        <v>51</v>
      </c>
      <c r="C245" s="167">
        <v>99010.76</v>
      </c>
      <c r="D245" s="167">
        <v>-391703.7</v>
      </c>
      <c r="E245" s="168">
        <v>2385287.05</v>
      </c>
      <c r="F245" s="168"/>
      <c r="G245" s="168">
        <f>-2146145.04</f>
        <v>-2146145.04</v>
      </c>
      <c r="H245" s="168">
        <v>0</v>
      </c>
      <c r="I245" s="168">
        <v>431145.56</v>
      </c>
      <c r="J245" s="168">
        <f t="shared" si="40"/>
        <v>377594.62999999983</v>
      </c>
    </row>
    <row r="246" spans="2:10" ht="12.75">
      <c r="B246" s="166" t="s">
        <v>52</v>
      </c>
      <c r="C246" s="167">
        <v>0</v>
      </c>
      <c r="D246" s="167"/>
      <c r="E246" s="168"/>
      <c r="F246" s="168"/>
      <c r="G246" s="168">
        <v>0</v>
      </c>
      <c r="H246" s="168"/>
      <c r="I246" s="168"/>
      <c r="J246" s="168">
        <f t="shared" si="40"/>
        <v>0</v>
      </c>
    </row>
    <row r="247" spans="2:10" ht="13.5" thickBot="1">
      <c r="B247" s="32" t="s">
        <v>9</v>
      </c>
      <c r="C247" s="169">
        <f>SUM(C241:C246)</f>
        <v>17965617.94</v>
      </c>
      <c r="D247" s="169">
        <f aca="true" t="shared" si="41" ref="D247:J247">SUM(D241:D246)</f>
        <v>-2351343.95</v>
      </c>
      <c r="E247" s="169">
        <f t="shared" si="41"/>
        <v>121544910.85</v>
      </c>
      <c r="F247" s="169">
        <f t="shared" si="41"/>
        <v>0</v>
      </c>
      <c r="G247" s="169">
        <f t="shared" si="41"/>
        <v>-81720134.27000001</v>
      </c>
      <c r="H247" s="169">
        <f t="shared" si="41"/>
        <v>0</v>
      </c>
      <c r="I247" s="169">
        <f t="shared" si="41"/>
        <v>1027343.8400000001</v>
      </c>
      <c r="J247" s="169">
        <f t="shared" si="41"/>
        <v>56466394.410000004</v>
      </c>
    </row>
    <row r="248" ht="13.5" thickTop="1"/>
    <row r="251" spans="2:10" ht="12.75">
      <c r="B251" s="184"/>
      <c r="C251" s="160">
        <v>42552</v>
      </c>
      <c r="D251" s="160">
        <v>42552</v>
      </c>
      <c r="E251" s="161" t="s">
        <v>452</v>
      </c>
      <c r="F251" s="162" t="s">
        <v>92</v>
      </c>
      <c r="G251" s="161" t="str">
        <f>E251</f>
        <v>Till 31-01-206</v>
      </c>
      <c r="H251" s="163"/>
      <c r="I251" s="161" t="str">
        <f>E251</f>
        <v>Till 31-01-206</v>
      </c>
      <c r="J251" s="161" t="s">
        <v>453</v>
      </c>
    </row>
    <row r="252" spans="2:10" ht="12.75">
      <c r="B252" s="39"/>
      <c r="C252" s="164"/>
      <c r="D252" s="164"/>
      <c r="E252" s="165"/>
      <c r="F252" s="165"/>
      <c r="G252" s="165"/>
      <c r="H252" s="237" t="s">
        <v>344</v>
      </c>
      <c r="I252" s="165"/>
      <c r="J252" s="165"/>
    </row>
    <row r="253" spans="2:10" ht="12.75">
      <c r="B253" s="166" t="s">
        <v>47</v>
      </c>
      <c r="C253" s="167">
        <v>0</v>
      </c>
      <c r="D253" s="167">
        <v>0</v>
      </c>
      <c r="E253" s="168">
        <v>90561000</v>
      </c>
      <c r="F253" s="168">
        <v>0</v>
      </c>
      <c r="G253" s="168">
        <f>-61464595.49-17360212.99</f>
        <v>-78824808.48</v>
      </c>
      <c r="H253" s="168">
        <v>0</v>
      </c>
      <c r="I253" s="168">
        <v>191495</v>
      </c>
      <c r="J253" s="168">
        <f aca="true" t="shared" si="42" ref="J253:J258">C253+D253+E253+F253+M253+G253+I253</f>
        <v>11927686.519999996</v>
      </c>
    </row>
    <row r="254" spans="2:10" ht="12.75">
      <c r="B254" s="166" t="s">
        <v>48</v>
      </c>
      <c r="C254" s="167">
        <v>13357030.52</v>
      </c>
      <c r="D254" s="167">
        <v>-1536997.25</v>
      </c>
      <c r="E254" s="168">
        <f>33611363.75+1536997.25</f>
        <v>35148361</v>
      </c>
      <c r="F254" s="168"/>
      <c r="G254" s="168">
        <f>-14257077.27-862412.33</f>
        <v>-15119489.6</v>
      </c>
      <c r="H254" s="168"/>
      <c r="I254" s="167">
        <v>16625.54</v>
      </c>
      <c r="J254" s="168">
        <f t="shared" si="42"/>
        <v>31865530.209999993</v>
      </c>
    </row>
    <row r="255" spans="2:10" ht="12.75">
      <c r="B255" s="166" t="s">
        <v>49</v>
      </c>
      <c r="C255" s="167">
        <v>0</v>
      </c>
      <c r="D255" s="167"/>
      <c r="E255" s="168">
        <v>0</v>
      </c>
      <c r="F255" s="168"/>
      <c r="G255" s="168">
        <v>0</v>
      </c>
      <c r="H255" s="168">
        <v>0</v>
      </c>
      <c r="I255" s="167">
        <v>0</v>
      </c>
      <c r="J255" s="168">
        <f t="shared" si="42"/>
        <v>0</v>
      </c>
    </row>
    <row r="256" spans="2:10" ht="12.75">
      <c r="B256" s="166" t="s">
        <v>50</v>
      </c>
      <c r="C256" s="167">
        <v>4509576.66</v>
      </c>
      <c r="D256" s="167">
        <v>-422643</v>
      </c>
      <c r="E256" s="168">
        <v>0</v>
      </c>
      <c r="F256" s="168">
        <v>0</v>
      </c>
      <c r="G256" s="168">
        <v>0</v>
      </c>
      <c r="H256" s="168">
        <v>0</v>
      </c>
      <c r="I256" s="167">
        <v>422643</v>
      </c>
      <c r="J256" s="168">
        <f t="shared" si="42"/>
        <v>4509576.66</v>
      </c>
    </row>
    <row r="257" spans="2:10" ht="12.75">
      <c r="B257" s="166" t="s">
        <v>51</v>
      </c>
      <c r="C257" s="167">
        <v>99010.76</v>
      </c>
      <c r="D257" s="167">
        <v>-391703.7</v>
      </c>
      <c r="E257" s="168">
        <f>1993583.35+391703.7</f>
        <v>2385287.0500000003</v>
      </c>
      <c r="F257" s="168"/>
      <c r="G257" s="168">
        <f>-2201589.67</f>
        <v>-2201589.67</v>
      </c>
      <c r="H257" s="168">
        <v>0</v>
      </c>
      <c r="I257" s="168">
        <v>431145.56</v>
      </c>
      <c r="J257" s="168">
        <f t="shared" si="42"/>
        <v>322150.0000000004</v>
      </c>
    </row>
    <row r="258" spans="2:10" ht="12.75">
      <c r="B258" s="166" t="s">
        <v>52</v>
      </c>
      <c r="C258" s="167">
        <v>0</v>
      </c>
      <c r="D258" s="167"/>
      <c r="E258" s="168"/>
      <c r="F258" s="168"/>
      <c r="G258" s="168">
        <v>0</v>
      </c>
      <c r="H258" s="168"/>
      <c r="I258" s="168"/>
      <c r="J258" s="168">
        <f t="shared" si="42"/>
        <v>0</v>
      </c>
    </row>
    <row r="259" spans="2:10" ht="13.5" thickBot="1">
      <c r="B259" s="32" t="s">
        <v>9</v>
      </c>
      <c r="C259" s="169">
        <f>SUM(C253:C258)</f>
        <v>17965617.94</v>
      </c>
      <c r="D259" s="169">
        <f aca="true" t="shared" si="43" ref="D259:J259">SUM(D253:D258)</f>
        <v>-2351343.95</v>
      </c>
      <c r="E259" s="169">
        <f t="shared" si="43"/>
        <v>128094648.05</v>
      </c>
      <c r="F259" s="169">
        <f t="shared" si="43"/>
        <v>0</v>
      </c>
      <c r="G259" s="169">
        <f t="shared" si="43"/>
        <v>-96145887.75</v>
      </c>
      <c r="H259" s="169">
        <f t="shared" si="43"/>
        <v>0</v>
      </c>
      <c r="I259" s="169">
        <f t="shared" si="43"/>
        <v>1061909.1</v>
      </c>
      <c r="J259" s="169">
        <f t="shared" si="43"/>
        <v>48624943.389999986</v>
      </c>
    </row>
    <row r="260" ht="13.5" thickTop="1"/>
    <row r="263" spans="2:10" ht="12.75">
      <c r="B263" s="184"/>
      <c r="C263" s="160">
        <v>42552</v>
      </c>
      <c r="D263" s="160">
        <v>42552</v>
      </c>
      <c r="E263" s="161" t="s">
        <v>457</v>
      </c>
      <c r="F263" s="162" t="s">
        <v>92</v>
      </c>
      <c r="G263" s="161" t="str">
        <f>E263</f>
        <v>Till 28-02-2017</v>
      </c>
      <c r="H263" s="163"/>
      <c r="I263" s="161" t="str">
        <f>E263</f>
        <v>Till 28-02-2017</v>
      </c>
      <c r="J263" s="161" t="s">
        <v>458</v>
      </c>
    </row>
    <row r="264" spans="2:10" ht="12.75">
      <c r="B264" s="39"/>
      <c r="C264" s="164"/>
      <c r="D264" s="164"/>
      <c r="E264" s="165"/>
      <c r="F264" s="165"/>
      <c r="G264" s="165"/>
      <c r="H264" s="237" t="s">
        <v>344</v>
      </c>
      <c r="I264" s="165"/>
      <c r="J264" s="165"/>
    </row>
    <row r="265" spans="2:10" ht="12.75">
      <c r="B265" s="166" t="s">
        <v>47</v>
      </c>
      <c r="C265" s="167">
        <v>0</v>
      </c>
      <c r="D265" s="167">
        <v>0</v>
      </c>
      <c r="E265" s="168">
        <v>91948000</v>
      </c>
      <c r="F265" s="168">
        <v>0</v>
      </c>
      <c r="G265" s="168">
        <f>-68322212.34-22734313.91</f>
        <v>-91056526.25</v>
      </c>
      <c r="H265" s="168">
        <v>0</v>
      </c>
      <c r="I265" s="168">
        <v>1494657.91</v>
      </c>
      <c r="J265" s="168">
        <f aca="true" t="shared" si="44" ref="J265:J270">C265+D265+E265+F265+M265+G265+I265</f>
        <v>2386131.66</v>
      </c>
    </row>
    <row r="266" spans="2:10" ht="12.75">
      <c r="B266" s="166" t="s">
        <v>48</v>
      </c>
      <c r="C266" s="167">
        <v>13357030.52</v>
      </c>
      <c r="D266" s="167">
        <v>-1536997.25</v>
      </c>
      <c r="E266" s="168">
        <f>40805363.75+1536997.25</f>
        <v>42342361</v>
      </c>
      <c r="F266" s="168"/>
      <c r="G266" s="168">
        <f>-14881059.74-6755350.25</f>
        <v>-21636409.990000002</v>
      </c>
      <c r="H266" s="168"/>
      <c r="I266" s="167">
        <v>19099.67</v>
      </c>
      <c r="J266" s="168">
        <f t="shared" si="44"/>
        <v>32545083.949999996</v>
      </c>
    </row>
    <row r="267" spans="2:10" ht="12.75">
      <c r="B267" s="166" t="s">
        <v>49</v>
      </c>
      <c r="C267" s="167">
        <v>0</v>
      </c>
      <c r="D267" s="167"/>
      <c r="E267" s="168">
        <v>0</v>
      </c>
      <c r="F267" s="168"/>
      <c r="G267" s="168">
        <v>0</v>
      </c>
      <c r="H267" s="168">
        <v>0</v>
      </c>
      <c r="I267" s="167">
        <v>0</v>
      </c>
      <c r="J267" s="168">
        <f t="shared" si="44"/>
        <v>0</v>
      </c>
    </row>
    <row r="268" spans="2:10" ht="12.75">
      <c r="B268" s="166" t="s">
        <v>50</v>
      </c>
      <c r="C268" s="167">
        <v>4509576.66</v>
      </c>
      <c r="D268" s="167">
        <v>-422643</v>
      </c>
      <c r="E268" s="168">
        <v>0</v>
      </c>
      <c r="F268" s="168">
        <v>0</v>
      </c>
      <c r="G268" s="168">
        <v>0</v>
      </c>
      <c r="H268" s="168">
        <v>0</v>
      </c>
      <c r="I268" s="167">
        <v>422643</v>
      </c>
      <c r="J268" s="168">
        <f t="shared" si="44"/>
        <v>4509576.66</v>
      </c>
    </row>
    <row r="269" spans="2:10" ht="12.75">
      <c r="B269" s="166" t="s">
        <v>51</v>
      </c>
      <c r="C269" s="167">
        <v>99010.76</v>
      </c>
      <c r="D269" s="167">
        <v>-391703.7</v>
      </c>
      <c r="E269" s="168">
        <f>2157418.11+391703.7</f>
        <v>2549121.81</v>
      </c>
      <c r="F269" s="168"/>
      <c r="G269" s="168">
        <v>-2308968.34</v>
      </c>
      <c r="H269" s="168">
        <v>0</v>
      </c>
      <c r="I269" s="168">
        <v>271550.23</v>
      </c>
      <c r="J269" s="168">
        <f t="shared" si="44"/>
        <v>219010.76000000024</v>
      </c>
    </row>
    <row r="270" spans="2:10" ht="12.75">
      <c r="B270" s="166" t="s">
        <v>52</v>
      </c>
      <c r="C270" s="167">
        <v>0</v>
      </c>
      <c r="D270" s="167"/>
      <c r="E270" s="168"/>
      <c r="F270" s="168"/>
      <c r="G270" s="168">
        <v>0</v>
      </c>
      <c r="H270" s="168"/>
      <c r="I270" s="168"/>
      <c r="J270" s="168">
        <f t="shared" si="44"/>
        <v>0</v>
      </c>
    </row>
    <row r="271" spans="2:10" ht="13.5" thickBot="1">
      <c r="B271" s="32" t="s">
        <v>9</v>
      </c>
      <c r="C271" s="169">
        <f>SUM(C265:C270)</f>
        <v>17965617.94</v>
      </c>
      <c r="D271" s="169">
        <f aca="true" t="shared" si="45" ref="D271:J271">SUM(D265:D270)</f>
        <v>-2351343.95</v>
      </c>
      <c r="E271" s="169">
        <f t="shared" si="45"/>
        <v>136839482.81</v>
      </c>
      <c r="F271" s="169">
        <f t="shared" si="45"/>
        <v>0</v>
      </c>
      <c r="G271" s="169">
        <f t="shared" si="45"/>
        <v>-115001904.58000001</v>
      </c>
      <c r="H271" s="169">
        <f t="shared" si="45"/>
        <v>0</v>
      </c>
      <c r="I271" s="169">
        <f t="shared" si="45"/>
        <v>2207950.8099999996</v>
      </c>
      <c r="J271" s="169">
        <f t="shared" si="45"/>
        <v>39659803.029999994</v>
      </c>
    </row>
    <row r="272" ht="13.5" thickTop="1"/>
    <row r="274" spans="2:10" ht="12.75">
      <c r="B274" s="184"/>
      <c r="C274" s="160">
        <v>42552</v>
      </c>
      <c r="D274" s="160">
        <v>42552</v>
      </c>
      <c r="E274" s="161" t="s">
        <v>462</v>
      </c>
      <c r="F274" s="162" t="s">
        <v>92</v>
      </c>
      <c r="G274" s="161" t="str">
        <f>E274</f>
        <v>Till 31-03-2017</v>
      </c>
      <c r="H274" s="163"/>
      <c r="I274" s="161" t="str">
        <f>E274</f>
        <v>Till 31-03-2017</v>
      </c>
      <c r="J274" s="161" t="s">
        <v>463</v>
      </c>
    </row>
    <row r="275" spans="2:10" ht="12.75">
      <c r="B275" s="39"/>
      <c r="C275" s="164"/>
      <c r="D275" s="164"/>
      <c r="E275" s="165"/>
      <c r="F275" s="165"/>
      <c r="G275" s="165"/>
      <c r="H275" s="237" t="s">
        <v>344</v>
      </c>
      <c r="I275" s="165"/>
      <c r="J275" s="165"/>
    </row>
    <row r="276" spans="2:10" ht="12.75">
      <c r="B276" s="166" t="s">
        <v>47</v>
      </c>
      <c r="C276" s="167">
        <v>0</v>
      </c>
      <c r="D276" s="167">
        <v>0</v>
      </c>
      <c r="E276" s="168">
        <v>128175000</v>
      </c>
      <c r="F276" s="168">
        <v>0</v>
      </c>
      <c r="G276" s="168">
        <f>-74003407-26091477</f>
        <v>-100094884</v>
      </c>
      <c r="H276" s="168">
        <v>0</v>
      </c>
      <c r="I276" s="168">
        <v>0</v>
      </c>
      <c r="J276" s="168">
        <f aca="true" t="shared" si="46" ref="J276:J281">C276+D276+E276+F276+M276+G276+I276</f>
        <v>28080116</v>
      </c>
    </row>
    <row r="277" spans="2:10" ht="12.75">
      <c r="B277" s="166" t="s">
        <v>48</v>
      </c>
      <c r="C277" s="167">
        <v>13283541.31</v>
      </c>
      <c r="D277" s="167">
        <v>-1536997.25</v>
      </c>
      <c r="E277" s="168">
        <f>45743864.49+1536997.25</f>
        <v>47280861.74</v>
      </c>
      <c r="F277" s="168"/>
      <c r="G277" s="168">
        <f>-16863151.27-13962247.6</f>
        <v>-30825398.869999997</v>
      </c>
      <c r="H277" s="168"/>
      <c r="I277" s="167">
        <v>3035578.2</v>
      </c>
      <c r="J277" s="168">
        <f t="shared" si="46"/>
        <v>31237585.130000006</v>
      </c>
    </row>
    <row r="278" spans="2:10" ht="12.75">
      <c r="B278" s="166" t="s">
        <v>49</v>
      </c>
      <c r="C278" s="167">
        <v>0</v>
      </c>
      <c r="D278" s="167"/>
      <c r="E278" s="168">
        <v>0</v>
      </c>
      <c r="F278" s="168"/>
      <c r="G278" s="168">
        <v>0</v>
      </c>
      <c r="H278" s="168">
        <v>0</v>
      </c>
      <c r="I278" s="167">
        <v>0</v>
      </c>
      <c r="J278" s="168">
        <f t="shared" si="46"/>
        <v>0</v>
      </c>
    </row>
    <row r="279" spans="2:10" ht="12.75">
      <c r="B279" s="166" t="s">
        <v>50</v>
      </c>
      <c r="C279" s="167">
        <v>4509576.66</v>
      </c>
      <c r="D279" s="167">
        <v>-422643</v>
      </c>
      <c r="E279" s="168">
        <v>0</v>
      </c>
      <c r="F279" s="168">
        <v>0</v>
      </c>
      <c r="G279" s="168">
        <v>0</v>
      </c>
      <c r="H279" s="168">
        <v>0</v>
      </c>
      <c r="I279" s="167">
        <v>422643</v>
      </c>
      <c r="J279" s="168">
        <f t="shared" si="46"/>
        <v>4509576.66</v>
      </c>
    </row>
    <row r="280" spans="2:10" ht="12.75">
      <c r="B280" s="166" t="s">
        <v>51</v>
      </c>
      <c r="C280" s="167">
        <v>99010.76</v>
      </c>
      <c r="D280" s="167">
        <v>-391703.7</v>
      </c>
      <c r="E280" s="168">
        <f>2644213.93+391703.7</f>
        <v>3035917.6300000004</v>
      </c>
      <c r="F280" s="168"/>
      <c r="G280" s="168">
        <v>-2410268.41</v>
      </c>
      <c r="H280" s="168">
        <v>0</v>
      </c>
      <c r="I280" s="168">
        <v>267310.8</v>
      </c>
      <c r="J280" s="168">
        <f t="shared" si="46"/>
        <v>600267.0800000003</v>
      </c>
    </row>
    <row r="281" spans="2:10" ht="12.75">
      <c r="B281" s="166" t="s">
        <v>52</v>
      </c>
      <c r="C281" s="167">
        <v>0</v>
      </c>
      <c r="D281" s="167"/>
      <c r="E281" s="168"/>
      <c r="F281" s="168"/>
      <c r="G281" s="168">
        <v>0</v>
      </c>
      <c r="H281" s="168"/>
      <c r="I281" s="168"/>
      <c r="J281" s="168">
        <f t="shared" si="46"/>
        <v>0</v>
      </c>
    </row>
    <row r="282" spans="2:10" ht="13.5" thickBot="1">
      <c r="B282" s="32" t="s">
        <v>9</v>
      </c>
      <c r="C282" s="169">
        <f>SUM(C276:C281)</f>
        <v>17892128.73</v>
      </c>
      <c r="D282" s="169">
        <f aca="true" t="shared" si="47" ref="D282:J282">SUM(D276:D281)</f>
        <v>-2351343.95</v>
      </c>
      <c r="E282" s="169">
        <f t="shared" si="47"/>
        <v>178491779.37</v>
      </c>
      <c r="F282" s="169">
        <f t="shared" si="47"/>
        <v>0</v>
      </c>
      <c r="G282" s="169">
        <f t="shared" si="47"/>
        <v>-133330551.28</v>
      </c>
      <c r="H282" s="169">
        <f t="shared" si="47"/>
        <v>0</v>
      </c>
      <c r="I282" s="169">
        <f t="shared" si="47"/>
        <v>3725532</v>
      </c>
      <c r="J282" s="169">
        <f t="shared" si="47"/>
        <v>64427544.870000005</v>
      </c>
    </row>
    <row r="283" ht="13.5" thickTop="1"/>
    <row r="286" spans="2:10" ht="12.75">
      <c r="B286" s="184"/>
      <c r="C286" s="160">
        <v>42552</v>
      </c>
      <c r="D286" s="160">
        <v>42552</v>
      </c>
      <c r="E286" s="161" t="s">
        <v>467</v>
      </c>
      <c r="F286" s="162" t="s">
        <v>92</v>
      </c>
      <c r="G286" s="161" t="str">
        <f>E286</f>
        <v>Till 30-04-2017</v>
      </c>
      <c r="H286" s="163"/>
      <c r="I286" s="161" t="str">
        <f>E286</f>
        <v>Till 30-04-2017</v>
      </c>
      <c r="J286" s="161" t="s">
        <v>468</v>
      </c>
    </row>
    <row r="287" spans="2:10" ht="12.75">
      <c r="B287" s="39"/>
      <c r="C287" s="164"/>
      <c r="D287" s="164"/>
      <c r="E287" s="165"/>
      <c r="F287" s="165"/>
      <c r="G287" s="165"/>
      <c r="H287" s="237" t="s">
        <v>344</v>
      </c>
      <c r="I287" s="165"/>
      <c r="J287" s="165"/>
    </row>
    <row r="288" spans="2:10" ht="12.75">
      <c r="B288" s="166" t="s">
        <v>47</v>
      </c>
      <c r="C288" s="167">
        <v>0</v>
      </c>
      <c r="D288" s="167">
        <v>0</v>
      </c>
      <c r="E288" s="168">
        <v>128175000</v>
      </c>
      <c r="F288" s="168">
        <v>0</v>
      </c>
      <c r="G288" s="168">
        <f>-79679918.2-27033608</f>
        <v>-106713526.2</v>
      </c>
      <c r="H288" s="168">
        <v>0</v>
      </c>
      <c r="I288" s="168">
        <v>0</v>
      </c>
      <c r="J288" s="168">
        <f aca="true" t="shared" si="48" ref="J288:J293">C288+D288+E288+F288+M288+G288+I288</f>
        <v>21461473.799999997</v>
      </c>
    </row>
    <row r="289" spans="2:10" ht="12.75">
      <c r="B289" s="166" t="s">
        <v>48</v>
      </c>
      <c r="C289" s="167">
        <v>13283541.31</v>
      </c>
      <c r="D289" s="167">
        <v>-1536997.25</v>
      </c>
      <c r="E289" s="168">
        <f>51613631.65+1536997.25</f>
        <v>53150628.9</v>
      </c>
      <c r="F289" s="168"/>
      <c r="G289" s="168">
        <f>-19489390.47-14004337.46</f>
        <v>-33493727.93</v>
      </c>
      <c r="H289" s="168"/>
      <c r="I289" s="167">
        <v>37965.23</v>
      </c>
      <c r="J289" s="168">
        <f t="shared" si="48"/>
        <v>31441410.26</v>
      </c>
    </row>
    <row r="290" spans="2:10" ht="12.75">
      <c r="B290" s="166" t="s">
        <v>49</v>
      </c>
      <c r="C290" s="167">
        <v>0</v>
      </c>
      <c r="D290" s="167"/>
      <c r="E290" s="168">
        <v>0</v>
      </c>
      <c r="F290" s="168"/>
      <c r="G290" s="168">
        <v>0</v>
      </c>
      <c r="H290" s="168">
        <v>0</v>
      </c>
      <c r="I290" s="167">
        <v>0</v>
      </c>
      <c r="J290" s="168">
        <f t="shared" si="48"/>
        <v>0</v>
      </c>
    </row>
    <row r="291" spans="2:10" ht="12.75">
      <c r="B291" s="166" t="s">
        <v>50</v>
      </c>
      <c r="C291" s="167">
        <v>4509576.66</v>
      </c>
      <c r="D291" s="167">
        <v>-422643</v>
      </c>
      <c r="E291" s="168">
        <v>0</v>
      </c>
      <c r="F291" s="168">
        <v>0</v>
      </c>
      <c r="G291" s="168">
        <v>0</v>
      </c>
      <c r="H291" s="168">
        <v>0</v>
      </c>
      <c r="I291" s="167">
        <v>422643</v>
      </c>
      <c r="J291" s="168">
        <f t="shared" si="48"/>
        <v>4509576.66</v>
      </c>
    </row>
    <row r="292" spans="2:10" ht="12.75">
      <c r="B292" s="166" t="s">
        <v>51</v>
      </c>
      <c r="C292" s="167">
        <v>99010.76</v>
      </c>
      <c r="D292" s="167">
        <v>-391703.7</v>
      </c>
      <c r="E292" s="168">
        <f>2644213.93+391703.7</f>
        <v>3035917.6300000004</v>
      </c>
      <c r="F292" s="168"/>
      <c r="G292" s="168">
        <v>-2473687.26</v>
      </c>
      <c r="H292" s="168">
        <v>0</v>
      </c>
      <c r="I292" s="168">
        <v>267310.8</v>
      </c>
      <c r="J292" s="168">
        <f t="shared" si="48"/>
        <v>536848.2300000007</v>
      </c>
    </row>
    <row r="293" spans="2:10" ht="12.75">
      <c r="B293" s="166" t="s">
        <v>52</v>
      </c>
      <c r="C293" s="167">
        <v>0</v>
      </c>
      <c r="D293" s="167"/>
      <c r="E293" s="168"/>
      <c r="F293" s="168"/>
      <c r="G293" s="168">
        <v>0</v>
      </c>
      <c r="H293" s="168"/>
      <c r="I293" s="168"/>
      <c r="J293" s="168">
        <f t="shared" si="48"/>
        <v>0</v>
      </c>
    </row>
    <row r="294" spans="2:10" ht="13.5" thickBot="1">
      <c r="B294" s="32" t="s">
        <v>9</v>
      </c>
      <c r="C294" s="169">
        <f>SUM(C288:C293)</f>
        <v>17892128.73</v>
      </c>
      <c r="D294" s="169">
        <f aca="true" t="shared" si="49" ref="D294:J294">SUM(D288:D293)</f>
        <v>-2351343.95</v>
      </c>
      <c r="E294" s="169">
        <f t="shared" si="49"/>
        <v>184361546.53</v>
      </c>
      <c r="F294" s="169">
        <f t="shared" si="49"/>
        <v>0</v>
      </c>
      <c r="G294" s="169">
        <f t="shared" si="49"/>
        <v>-142680941.39</v>
      </c>
      <c r="H294" s="169">
        <f t="shared" si="49"/>
        <v>0</v>
      </c>
      <c r="I294" s="169">
        <f t="shared" si="49"/>
        <v>727919.03</v>
      </c>
      <c r="J294" s="169">
        <f t="shared" si="49"/>
        <v>57949308.95</v>
      </c>
    </row>
    <row r="295" ht="13.5" thickTop="1"/>
    <row r="298" spans="2:10" ht="12.75">
      <c r="B298" s="184"/>
      <c r="C298" s="160">
        <v>42552</v>
      </c>
      <c r="D298" s="160">
        <v>42552</v>
      </c>
      <c r="E298" s="161" t="s">
        <v>471</v>
      </c>
      <c r="F298" s="162" t="s">
        <v>92</v>
      </c>
      <c r="G298" s="161" t="str">
        <f>E298</f>
        <v>Till 31-05-2017</v>
      </c>
      <c r="H298" s="163"/>
      <c r="I298" s="161" t="str">
        <f>E298</f>
        <v>Till 31-05-2017</v>
      </c>
      <c r="J298" s="161" t="s">
        <v>472</v>
      </c>
    </row>
    <row r="299" spans="2:10" ht="12.75">
      <c r="B299" s="39"/>
      <c r="C299" s="164"/>
      <c r="D299" s="164"/>
      <c r="E299" s="165"/>
      <c r="F299" s="165"/>
      <c r="G299" s="165"/>
      <c r="H299" s="237" t="s">
        <v>344</v>
      </c>
      <c r="I299" s="165"/>
      <c r="J299" s="165"/>
    </row>
    <row r="300" spans="2:10" ht="12.75">
      <c r="B300" s="166" t="s">
        <v>47</v>
      </c>
      <c r="C300" s="167">
        <v>0</v>
      </c>
      <c r="D300" s="167">
        <v>0</v>
      </c>
      <c r="E300" s="168">
        <v>128175000</v>
      </c>
      <c r="F300" s="168">
        <v>0</v>
      </c>
      <c r="G300" s="168">
        <f>-85296710.59-28266316</f>
        <v>-113563026.59</v>
      </c>
      <c r="H300" s="168">
        <v>0</v>
      </c>
      <c r="I300" s="168">
        <v>0</v>
      </c>
      <c r="J300" s="168">
        <f aca="true" t="shared" si="50" ref="J300:J305">C300+D300+E300+F300+M300+G300+I300</f>
        <v>14611973.409999996</v>
      </c>
    </row>
    <row r="301" spans="2:10" ht="12.75">
      <c r="B301" s="166" t="s">
        <v>48</v>
      </c>
      <c r="C301" s="167">
        <v>13283541.31</v>
      </c>
      <c r="D301" s="167">
        <v>-1536997.25</v>
      </c>
      <c r="E301" s="168">
        <f>52679631.65+1536997.25</f>
        <v>54216628.9</v>
      </c>
      <c r="F301" s="168"/>
      <c r="G301" s="168">
        <f>-20265351.83-15109904.92</f>
        <v>-35375256.75</v>
      </c>
      <c r="H301" s="168"/>
      <c r="I301" s="167">
        <v>41653.77</v>
      </c>
      <c r="J301" s="168">
        <f t="shared" si="50"/>
        <v>30629569.98</v>
      </c>
    </row>
    <row r="302" spans="2:10" ht="12.75">
      <c r="B302" s="166" t="s">
        <v>49</v>
      </c>
      <c r="C302" s="167">
        <v>0</v>
      </c>
      <c r="D302" s="167"/>
      <c r="E302" s="168">
        <v>300000</v>
      </c>
      <c r="F302" s="168"/>
      <c r="G302" s="168">
        <v>0</v>
      </c>
      <c r="H302" s="168">
        <v>0</v>
      </c>
      <c r="I302" s="167">
        <v>0</v>
      </c>
      <c r="J302" s="168">
        <f t="shared" si="50"/>
        <v>300000</v>
      </c>
    </row>
    <row r="303" spans="2:10" ht="12.75">
      <c r="B303" s="166" t="s">
        <v>50</v>
      </c>
      <c r="C303" s="167">
        <v>4509576.66</v>
      </c>
      <c r="D303" s="167">
        <v>-422643</v>
      </c>
      <c r="E303" s="168">
        <v>0</v>
      </c>
      <c r="F303" s="168">
        <v>0</v>
      </c>
      <c r="G303" s="168">
        <v>0</v>
      </c>
      <c r="H303" s="168">
        <v>0</v>
      </c>
      <c r="I303" s="167">
        <v>422643</v>
      </c>
      <c r="J303" s="168">
        <f t="shared" si="50"/>
        <v>4509576.66</v>
      </c>
    </row>
    <row r="304" spans="2:10" ht="12.75">
      <c r="B304" s="166" t="s">
        <v>51</v>
      </c>
      <c r="C304" s="167">
        <v>99010.76</v>
      </c>
      <c r="D304" s="167">
        <v>-391703.7</v>
      </c>
      <c r="E304" s="168">
        <f>2644213.93+391703.7</f>
        <v>3035917.6300000004</v>
      </c>
      <c r="F304" s="168"/>
      <c r="G304" s="168">
        <f>-2519351.94</f>
        <v>-2519351.94</v>
      </c>
      <c r="H304" s="168">
        <v>0</v>
      </c>
      <c r="I304" s="168">
        <v>267310.8</v>
      </c>
      <c r="J304" s="168">
        <f t="shared" si="50"/>
        <v>491183.55000000045</v>
      </c>
    </row>
    <row r="305" spans="2:10" ht="12.75">
      <c r="B305" s="166" t="s">
        <v>52</v>
      </c>
      <c r="C305" s="167">
        <v>0</v>
      </c>
      <c r="D305" s="167"/>
      <c r="E305" s="168"/>
      <c r="F305" s="168"/>
      <c r="G305" s="168">
        <v>0</v>
      </c>
      <c r="H305" s="168"/>
      <c r="I305" s="168"/>
      <c r="J305" s="168">
        <f t="shared" si="50"/>
        <v>0</v>
      </c>
    </row>
    <row r="306" spans="2:10" ht="13.5" thickBot="1">
      <c r="B306" s="32" t="s">
        <v>9</v>
      </c>
      <c r="C306" s="169">
        <f>SUM(C300:C305)</f>
        <v>17892128.73</v>
      </c>
      <c r="D306" s="169">
        <f aca="true" t="shared" si="51" ref="D306:J306">SUM(D300:D305)</f>
        <v>-2351343.95</v>
      </c>
      <c r="E306" s="169">
        <f t="shared" si="51"/>
        <v>185727546.53</v>
      </c>
      <c r="F306" s="169">
        <f t="shared" si="51"/>
        <v>0</v>
      </c>
      <c r="G306" s="169">
        <f t="shared" si="51"/>
        <v>-151457635.28</v>
      </c>
      <c r="H306" s="169">
        <f t="shared" si="51"/>
        <v>0</v>
      </c>
      <c r="I306" s="169">
        <f t="shared" si="51"/>
        <v>731607.5700000001</v>
      </c>
      <c r="J306" s="169">
        <f t="shared" si="51"/>
        <v>50542303.599999994</v>
      </c>
    </row>
    <row r="307" ht="13.5" thickTop="1"/>
    <row r="310" spans="2:10" ht="12.75">
      <c r="B310" s="184"/>
      <c r="C310" s="160">
        <v>42552</v>
      </c>
      <c r="D310" s="160">
        <v>42552</v>
      </c>
      <c r="E310" s="161" t="s">
        <v>475</v>
      </c>
      <c r="F310" s="162" t="s">
        <v>92</v>
      </c>
      <c r="G310" s="161" t="str">
        <f>E310</f>
        <v>Till 30-06-2017</v>
      </c>
      <c r="H310" s="163"/>
      <c r="I310" s="161" t="str">
        <f>E310</f>
        <v>Till 30-06-2017</v>
      </c>
      <c r="J310" s="161" t="s">
        <v>476</v>
      </c>
    </row>
    <row r="311" spans="2:10" ht="12.75">
      <c r="B311" s="39"/>
      <c r="C311" s="164"/>
      <c r="D311" s="164"/>
      <c r="E311" s="165"/>
      <c r="F311" s="165"/>
      <c r="G311" s="165"/>
      <c r="H311" s="237" t="s">
        <v>344</v>
      </c>
      <c r="I311" s="165"/>
      <c r="J311" s="165"/>
    </row>
    <row r="312" spans="2:10" ht="12.75">
      <c r="B312" s="166" t="s">
        <v>47</v>
      </c>
      <c r="C312" s="167">
        <v>0</v>
      </c>
      <c r="D312" s="167">
        <v>0</v>
      </c>
      <c r="E312" s="168">
        <v>128175000</v>
      </c>
      <c r="F312" s="168">
        <v>0</v>
      </c>
      <c r="G312" s="168">
        <f>-91094748.37-36216684</f>
        <v>-127311432.37</v>
      </c>
      <c r="H312" s="168">
        <v>0</v>
      </c>
      <c r="I312" s="168">
        <v>0</v>
      </c>
      <c r="J312" s="168">
        <f aca="true" t="shared" si="52" ref="J312:J317">C312+D312+E312+F312+M312+G312+I312</f>
        <v>863567.6299999952</v>
      </c>
    </row>
    <row r="313" spans="2:10" ht="12.75">
      <c r="B313" s="166" t="s">
        <v>48</v>
      </c>
      <c r="C313" s="167">
        <v>13283541.31</v>
      </c>
      <c r="D313" s="167">
        <v>-1536997.25</v>
      </c>
      <c r="E313" s="168">
        <f>52864723+1536997.25</f>
        <v>54401720.25</v>
      </c>
      <c r="F313" s="168"/>
      <c r="G313" s="168">
        <f>-21597316.46-18447551.06</f>
        <v>-40044867.519999996</v>
      </c>
      <c r="H313" s="168"/>
      <c r="I313" s="167">
        <v>50439.770000000004</v>
      </c>
      <c r="J313" s="168">
        <f t="shared" si="52"/>
        <v>26153836.560000006</v>
      </c>
    </row>
    <row r="314" spans="2:10" ht="12.75">
      <c r="B314" s="166" t="s">
        <v>49</v>
      </c>
      <c r="C314" s="167">
        <v>0</v>
      </c>
      <c r="D314" s="167"/>
      <c r="E314" s="168">
        <v>300000</v>
      </c>
      <c r="F314" s="168"/>
      <c r="G314" s="168">
        <v>0</v>
      </c>
      <c r="H314" s="168">
        <v>0</v>
      </c>
      <c r="I314" s="167">
        <v>0</v>
      </c>
      <c r="J314" s="168">
        <f t="shared" si="52"/>
        <v>300000</v>
      </c>
    </row>
    <row r="315" spans="2:10" ht="12.75">
      <c r="B315" s="166" t="s">
        <v>50</v>
      </c>
      <c r="C315" s="167">
        <v>4509576.66</v>
      </c>
      <c r="D315" s="167">
        <v>-422643</v>
      </c>
      <c r="E315" s="168">
        <v>0</v>
      </c>
      <c r="F315" s="168">
        <v>0</v>
      </c>
      <c r="G315" s="168">
        <v>0</v>
      </c>
      <c r="H315" s="168">
        <v>0</v>
      </c>
      <c r="I315" s="167">
        <v>422643</v>
      </c>
      <c r="J315" s="168">
        <f t="shared" si="52"/>
        <v>4509576.66</v>
      </c>
    </row>
    <row r="316" spans="2:10" ht="12.75">
      <c r="B316" s="166" t="s">
        <v>51</v>
      </c>
      <c r="C316" s="167">
        <v>99010.76</v>
      </c>
      <c r="D316" s="167">
        <v>-391703.7</v>
      </c>
      <c r="E316" s="168">
        <f>2813949+391703.7</f>
        <v>3205652.7</v>
      </c>
      <c r="F316" s="168"/>
      <c r="G316" s="168">
        <v>-2560485.77</v>
      </c>
      <c r="H316" s="168">
        <v>0</v>
      </c>
      <c r="I316" s="168">
        <v>97820.9</v>
      </c>
      <c r="J316" s="168">
        <f t="shared" si="52"/>
        <v>450294.89000000025</v>
      </c>
    </row>
    <row r="317" spans="2:10" ht="12.75">
      <c r="B317" s="166" t="s">
        <v>52</v>
      </c>
      <c r="C317" s="167">
        <v>0</v>
      </c>
      <c r="D317" s="167"/>
      <c r="E317" s="168"/>
      <c r="F317" s="168"/>
      <c r="G317" s="168">
        <v>0</v>
      </c>
      <c r="H317" s="168"/>
      <c r="I317" s="168"/>
      <c r="J317" s="168">
        <f t="shared" si="52"/>
        <v>0</v>
      </c>
    </row>
    <row r="318" spans="2:10" ht="13.5" thickBot="1">
      <c r="B318" s="32" t="s">
        <v>9</v>
      </c>
      <c r="C318" s="169">
        <f>SUM(C312:C317)</f>
        <v>17892128.73</v>
      </c>
      <c r="D318" s="169">
        <f aca="true" t="shared" si="53" ref="D318:J318">SUM(D312:D317)</f>
        <v>-2351343.95</v>
      </c>
      <c r="E318" s="169">
        <f t="shared" si="53"/>
        <v>186082372.95</v>
      </c>
      <c r="F318" s="169">
        <f t="shared" si="53"/>
        <v>0</v>
      </c>
      <c r="G318" s="169">
        <f t="shared" si="53"/>
        <v>-169916785.66</v>
      </c>
      <c r="H318" s="169">
        <f t="shared" si="53"/>
        <v>0</v>
      </c>
      <c r="I318" s="169">
        <f t="shared" si="53"/>
        <v>570903.67</v>
      </c>
      <c r="J318" s="169">
        <f t="shared" si="53"/>
        <v>32277275.740000002</v>
      </c>
    </row>
    <row r="319" ht="13.5" thickTop="1"/>
    <row r="322" spans="2:10" ht="12.75">
      <c r="B322" s="184"/>
      <c r="C322" s="160">
        <v>42917</v>
      </c>
      <c r="D322" s="160">
        <v>42917</v>
      </c>
      <c r="E322" s="161" t="s">
        <v>479</v>
      </c>
      <c r="F322" s="162" t="s">
        <v>92</v>
      </c>
      <c r="G322" s="161" t="str">
        <f>E322</f>
        <v>Till 31-07-2017</v>
      </c>
      <c r="H322" s="163"/>
      <c r="I322" s="161" t="str">
        <f>E322</f>
        <v>Till 31-07-2017</v>
      </c>
      <c r="J322" s="161" t="s">
        <v>480</v>
      </c>
    </row>
    <row r="323" spans="2:10" ht="12.75">
      <c r="B323" s="39"/>
      <c r="C323" s="164"/>
      <c r="D323" s="164"/>
      <c r="E323" s="165"/>
      <c r="F323" s="165"/>
      <c r="G323" s="165"/>
      <c r="H323" s="237" t="s">
        <v>344</v>
      </c>
      <c r="I323" s="165"/>
      <c r="J323" s="165"/>
    </row>
    <row r="324" spans="2:10" ht="12.75">
      <c r="B324" s="166" t="s">
        <v>47</v>
      </c>
      <c r="C324" s="167">
        <v>668316</v>
      </c>
      <c r="D324" s="167">
        <v>0</v>
      </c>
      <c r="E324" s="168">
        <v>49699000</v>
      </c>
      <c r="F324" s="168">
        <v>0</v>
      </c>
      <c r="G324" s="168">
        <f>-11253928.31-98926</f>
        <v>-11352854.31</v>
      </c>
      <c r="H324" s="168">
        <v>0</v>
      </c>
      <c r="I324" s="168">
        <v>1035428.31</v>
      </c>
      <c r="J324" s="168">
        <f aca="true" t="shared" si="54" ref="J324:J329">C324+D324+E324+F324+M324+G324+I324</f>
        <v>40049890</v>
      </c>
    </row>
    <row r="325" spans="2:10" ht="12.75">
      <c r="B325" s="166" t="s">
        <v>48</v>
      </c>
      <c r="C325" s="167">
        <v>22519648.19</v>
      </c>
      <c r="D325" s="167">
        <v>-56223.22</v>
      </c>
      <c r="E325" s="168">
        <v>2809000</v>
      </c>
      <c r="F325" s="168"/>
      <c r="G325" s="168">
        <v>-648171.03</v>
      </c>
      <c r="H325" s="168"/>
      <c r="I325" s="167">
        <v>57568.02</v>
      </c>
      <c r="J325" s="168">
        <f t="shared" si="54"/>
        <v>24681821.96</v>
      </c>
    </row>
    <row r="326" spans="2:10" ht="12.75">
      <c r="B326" s="166" t="s">
        <v>49</v>
      </c>
      <c r="C326" s="167">
        <v>300000</v>
      </c>
      <c r="D326" s="167"/>
      <c r="E326" s="168">
        <v>0</v>
      </c>
      <c r="F326" s="168"/>
      <c r="G326" s="168">
        <v>0</v>
      </c>
      <c r="H326" s="168">
        <v>0</v>
      </c>
      <c r="I326" s="167">
        <v>0</v>
      </c>
      <c r="J326" s="168">
        <f t="shared" si="54"/>
        <v>300000</v>
      </c>
    </row>
    <row r="327" spans="2:10" ht="12.75">
      <c r="B327" s="166" t="s">
        <v>50</v>
      </c>
      <c r="C327" s="167">
        <v>4509576.66</v>
      </c>
      <c r="D327" s="167">
        <v>-422643</v>
      </c>
      <c r="E327" s="168">
        <v>0</v>
      </c>
      <c r="F327" s="168">
        <v>0</v>
      </c>
      <c r="G327" s="168">
        <v>0</v>
      </c>
      <c r="H327" s="168">
        <v>0</v>
      </c>
      <c r="I327" s="167">
        <v>422643</v>
      </c>
      <c r="J327" s="168">
        <f t="shared" si="54"/>
        <v>4509576.66</v>
      </c>
    </row>
    <row r="328" spans="2:10" ht="12.75">
      <c r="B328" s="166" t="s">
        <v>51</v>
      </c>
      <c r="C328" s="167">
        <v>448221.59</v>
      </c>
      <c r="D328" s="167">
        <v>-97820.9</v>
      </c>
      <c r="E328" s="168">
        <v>0</v>
      </c>
      <c r="F328" s="168"/>
      <c r="G328" s="168">
        <v>0</v>
      </c>
      <c r="H328" s="168">
        <v>0</v>
      </c>
      <c r="I328" s="168">
        <v>97820.9</v>
      </c>
      <c r="J328" s="168">
        <f t="shared" si="54"/>
        <v>448221.5900000001</v>
      </c>
    </row>
    <row r="329" spans="2:10" ht="12.75">
      <c r="B329" s="166" t="s">
        <v>52</v>
      </c>
      <c r="C329" s="167">
        <v>0</v>
      </c>
      <c r="D329" s="167"/>
      <c r="E329" s="168"/>
      <c r="F329" s="168"/>
      <c r="G329" s="168">
        <v>0</v>
      </c>
      <c r="H329" s="168"/>
      <c r="I329" s="168"/>
      <c r="J329" s="168">
        <f t="shared" si="54"/>
        <v>0</v>
      </c>
    </row>
    <row r="330" spans="2:10" ht="13.5" thickBot="1">
      <c r="B330" s="32" t="s">
        <v>9</v>
      </c>
      <c r="C330" s="169">
        <f>SUM(C324:C329)</f>
        <v>28445762.44</v>
      </c>
      <c r="D330" s="169">
        <f aca="true" t="shared" si="55" ref="D330:J330">SUM(D324:D329)</f>
        <v>-576687.12</v>
      </c>
      <c r="E330" s="169">
        <f t="shared" si="55"/>
        <v>52508000</v>
      </c>
      <c r="F330" s="169">
        <f t="shared" si="55"/>
        <v>0</v>
      </c>
      <c r="G330" s="169">
        <f t="shared" si="55"/>
        <v>-12001025.34</v>
      </c>
      <c r="H330" s="169">
        <f t="shared" si="55"/>
        <v>0</v>
      </c>
      <c r="I330" s="169">
        <f t="shared" si="55"/>
        <v>1613460.23</v>
      </c>
      <c r="J330" s="169">
        <f t="shared" si="55"/>
        <v>69989510.21000001</v>
      </c>
    </row>
    <row r="331" ht="13.5" thickTop="1"/>
    <row r="334" spans="2:10" ht="12.75">
      <c r="B334" s="184"/>
      <c r="C334" s="160">
        <v>42917</v>
      </c>
      <c r="D334" s="160">
        <v>42917</v>
      </c>
      <c r="E334" s="161" t="s">
        <v>497</v>
      </c>
      <c r="F334" s="162" t="s">
        <v>92</v>
      </c>
      <c r="G334" s="161" t="str">
        <f>E334</f>
        <v>Till 30-09-2017</v>
      </c>
      <c r="H334" s="163"/>
      <c r="I334" s="161" t="str">
        <f>E334</f>
        <v>Till 30-09-2017</v>
      </c>
      <c r="J334" s="161" t="s">
        <v>498</v>
      </c>
    </row>
    <row r="335" spans="2:10" ht="12.75">
      <c r="B335" s="39"/>
      <c r="C335" s="164"/>
      <c r="D335" s="164"/>
      <c r="E335" s="165"/>
      <c r="F335" s="165"/>
      <c r="G335" s="165"/>
      <c r="H335" s="237" t="s">
        <v>344</v>
      </c>
      <c r="I335" s="165"/>
      <c r="J335" s="165"/>
    </row>
    <row r="336" spans="2:10" ht="12.75">
      <c r="B336" s="166" t="s">
        <v>47</v>
      </c>
      <c r="C336" s="167">
        <v>668316</v>
      </c>
      <c r="D336" s="167">
        <v>0</v>
      </c>
      <c r="E336" s="168">
        <v>55773000</v>
      </c>
      <c r="F336" s="168">
        <v>0</v>
      </c>
      <c r="G336" s="168">
        <f>-33083140.98-3818854</f>
        <v>-36901994.980000004</v>
      </c>
      <c r="H336" s="168">
        <v>0</v>
      </c>
      <c r="I336" s="168">
        <v>1529362.41</v>
      </c>
      <c r="J336" s="168">
        <f aca="true" t="shared" si="56" ref="J336:J341">C336+D336+E336+F336+M336+G336+I336</f>
        <v>21068683.429999996</v>
      </c>
    </row>
    <row r="337" spans="2:10" ht="12.75">
      <c r="B337" s="166" t="s">
        <v>48</v>
      </c>
      <c r="C337" s="167">
        <v>22656537.4</v>
      </c>
      <c r="D337" s="167">
        <v>-56223.22</v>
      </c>
      <c r="E337" s="168">
        <v>2866841</v>
      </c>
      <c r="F337" s="168"/>
      <c r="G337" s="168">
        <f>-1985301.23-2807283.6</f>
        <v>-4792584.83</v>
      </c>
      <c r="H337" s="168"/>
      <c r="I337" s="167">
        <v>2874952.47</v>
      </c>
      <c r="J337" s="168">
        <f t="shared" si="56"/>
        <v>23549522.82</v>
      </c>
    </row>
    <row r="338" spans="2:10" ht="12.75">
      <c r="B338" s="166" t="s">
        <v>49</v>
      </c>
      <c r="C338" s="167">
        <v>300000</v>
      </c>
      <c r="D338" s="167"/>
      <c r="E338" s="168">
        <v>0</v>
      </c>
      <c r="F338" s="168"/>
      <c r="G338" s="168">
        <v>0</v>
      </c>
      <c r="H338" s="168">
        <v>0</v>
      </c>
      <c r="I338" s="167">
        <v>0</v>
      </c>
      <c r="J338" s="168">
        <f t="shared" si="56"/>
        <v>300000</v>
      </c>
    </row>
    <row r="339" spans="2:10" ht="12.75">
      <c r="B339" s="166" t="s">
        <v>50</v>
      </c>
      <c r="C339" s="167">
        <v>4509576.66</v>
      </c>
      <c r="D339" s="167">
        <v>-422643</v>
      </c>
      <c r="E339" s="168">
        <v>0</v>
      </c>
      <c r="F339" s="168">
        <v>0</v>
      </c>
      <c r="G339" s="168">
        <v>0</v>
      </c>
      <c r="H339" s="168">
        <v>0</v>
      </c>
      <c r="I339" s="167">
        <v>422643</v>
      </c>
      <c r="J339" s="168">
        <f t="shared" si="56"/>
        <v>4509576.66</v>
      </c>
    </row>
    <row r="340" spans="2:10" ht="12.75">
      <c r="B340" s="166" t="s">
        <v>51</v>
      </c>
      <c r="C340" s="167">
        <v>229210.83</v>
      </c>
      <c r="D340" s="167">
        <v>-97820.9</v>
      </c>
      <c r="E340" s="168">
        <v>1167709.69</v>
      </c>
      <c r="F340" s="168"/>
      <c r="G340" s="168">
        <v>-468575.87</v>
      </c>
      <c r="H340" s="168">
        <v>0</v>
      </c>
      <c r="I340" s="168">
        <v>0</v>
      </c>
      <c r="J340" s="168">
        <f t="shared" si="56"/>
        <v>830523.7499999999</v>
      </c>
    </row>
    <row r="341" spans="2:10" ht="12.75">
      <c r="B341" s="166" t="s">
        <v>52</v>
      </c>
      <c r="C341" s="167">
        <v>0</v>
      </c>
      <c r="D341" s="167"/>
      <c r="E341" s="168"/>
      <c r="F341" s="168"/>
      <c r="G341" s="168">
        <v>0</v>
      </c>
      <c r="H341" s="168"/>
      <c r="I341" s="168"/>
      <c r="J341" s="168">
        <f t="shared" si="56"/>
        <v>0</v>
      </c>
    </row>
    <row r="342" spans="2:10" ht="13.5" thickBot="1">
      <c r="B342" s="32" t="s">
        <v>9</v>
      </c>
      <c r="C342" s="169">
        <f>SUM(C336:C341)</f>
        <v>28363640.889999997</v>
      </c>
      <c r="D342" s="169">
        <f aca="true" t="shared" si="57" ref="D342:J342">SUM(D336:D341)</f>
        <v>-576687.12</v>
      </c>
      <c r="E342" s="169">
        <f t="shared" si="57"/>
        <v>59807550.69</v>
      </c>
      <c r="F342" s="169">
        <f t="shared" si="57"/>
        <v>0</v>
      </c>
      <c r="G342" s="169">
        <f t="shared" si="57"/>
        <v>-42163155.68</v>
      </c>
      <c r="H342" s="169">
        <f t="shared" si="57"/>
        <v>0</v>
      </c>
      <c r="I342" s="169">
        <f t="shared" si="57"/>
        <v>4826957.88</v>
      </c>
      <c r="J342" s="169">
        <f t="shared" si="57"/>
        <v>50258306.66</v>
      </c>
    </row>
    <row r="343" ht="13.5" thickTop="1"/>
    <row r="348" spans="2:10" ht="12.75">
      <c r="B348" s="184"/>
      <c r="C348" s="160">
        <v>42917</v>
      </c>
      <c r="D348" s="160">
        <v>42917</v>
      </c>
      <c r="E348" s="161" t="s">
        <v>505</v>
      </c>
      <c r="F348" s="162" t="s">
        <v>92</v>
      </c>
      <c r="G348" s="161" t="str">
        <f>E348</f>
        <v>Till 30-11-2017</v>
      </c>
      <c r="H348" s="163"/>
      <c r="I348" s="161" t="str">
        <f>E348</f>
        <v>Till 30-11-2017</v>
      </c>
      <c r="J348" s="161" t="s">
        <v>504</v>
      </c>
    </row>
    <row r="349" spans="2:10" ht="12.75">
      <c r="B349" s="39"/>
      <c r="C349" s="164"/>
      <c r="D349" s="164"/>
      <c r="E349" s="165"/>
      <c r="F349" s="165"/>
      <c r="G349" s="165"/>
      <c r="H349" s="237" t="s">
        <v>344</v>
      </c>
      <c r="I349" s="165"/>
      <c r="J349" s="165"/>
    </row>
    <row r="350" spans="2:10" ht="12.75">
      <c r="B350" s="166" t="s">
        <v>47</v>
      </c>
      <c r="C350" s="167">
        <v>668316</v>
      </c>
      <c r="D350" s="167">
        <v>0</v>
      </c>
      <c r="E350" s="168">
        <v>59773000</v>
      </c>
      <c r="F350" s="168">
        <v>-668316</v>
      </c>
      <c r="G350" s="168">
        <f>-42407136.63-13578052.24</f>
        <v>-55985188.870000005</v>
      </c>
      <c r="H350" s="168">
        <v>0</v>
      </c>
      <c r="I350" s="168">
        <v>4998268.24</v>
      </c>
      <c r="J350" s="168">
        <f aca="true" t="shared" si="58" ref="J350:J355">C350+D350+E350+F350+M350+G350+I350</f>
        <v>8786079.369999995</v>
      </c>
    </row>
    <row r="351" spans="2:10" ht="12.75">
      <c r="B351" s="166" t="s">
        <v>48</v>
      </c>
      <c r="C351" s="167">
        <v>22656537.4</v>
      </c>
      <c r="D351" s="167">
        <v>-56223.22</v>
      </c>
      <c r="E351" s="168">
        <v>5862602.5</v>
      </c>
      <c r="F351" s="168">
        <v>-57615.9</v>
      </c>
      <c r="G351" s="168">
        <f>-8364887.12-5184807.3</f>
        <v>-13549694.42</v>
      </c>
      <c r="H351" s="168"/>
      <c r="I351" s="167">
        <v>5145288.93</v>
      </c>
      <c r="J351" s="168">
        <f t="shared" si="58"/>
        <v>20000895.29</v>
      </c>
    </row>
    <row r="352" spans="2:10" ht="12.75">
      <c r="B352" s="166" t="s">
        <v>49</v>
      </c>
      <c r="C352" s="167">
        <v>300000</v>
      </c>
      <c r="D352" s="167"/>
      <c r="E352" s="168">
        <v>0</v>
      </c>
      <c r="F352" s="168"/>
      <c r="G352" s="168">
        <v>0</v>
      </c>
      <c r="H352" s="168">
        <v>0</v>
      </c>
      <c r="I352" s="167">
        <v>0</v>
      </c>
      <c r="J352" s="168">
        <f t="shared" si="58"/>
        <v>300000</v>
      </c>
    </row>
    <row r="353" spans="2:10" ht="12.75">
      <c r="B353" s="166" t="s">
        <v>50</v>
      </c>
      <c r="C353" s="167">
        <f>1518294.13+2991282.53</f>
        <v>4509576.66</v>
      </c>
      <c r="D353" s="167">
        <v>-422643</v>
      </c>
      <c r="E353" s="168">
        <v>0</v>
      </c>
      <c r="F353" s="168">
        <v>0</v>
      </c>
      <c r="G353" s="168">
        <v>0</v>
      </c>
      <c r="H353" s="168">
        <v>0</v>
      </c>
      <c r="I353" s="167">
        <v>422643</v>
      </c>
      <c r="J353" s="168">
        <f t="shared" si="58"/>
        <v>4509576.66</v>
      </c>
    </row>
    <row r="354" spans="2:10" ht="12.75">
      <c r="B354" s="166" t="s">
        <v>51</v>
      </c>
      <c r="C354" s="167">
        <v>229210.83</v>
      </c>
      <c r="D354" s="167">
        <v>-97820.9</v>
      </c>
      <c r="E354" s="168">
        <v>1253666.57</v>
      </c>
      <c r="F354" s="168"/>
      <c r="G354" s="168">
        <v>-1230591.16</v>
      </c>
      <c r="H354" s="168">
        <v>0</v>
      </c>
      <c r="I354" s="168">
        <v>1139.66</v>
      </c>
      <c r="J354" s="168">
        <f t="shared" si="58"/>
        <v>155605.0000000001</v>
      </c>
    </row>
    <row r="355" spans="2:10" ht="12.75">
      <c r="B355" s="166" t="s">
        <v>52</v>
      </c>
      <c r="C355" s="167">
        <v>0</v>
      </c>
      <c r="D355" s="167"/>
      <c r="E355" s="168"/>
      <c r="F355" s="168"/>
      <c r="G355" s="168">
        <v>0</v>
      </c>
      <c r="H355" s="168"/>
      <c r="I355" s="168"/>
      <c r="J355" s="168">
        <f t="shared" si="58"/>
        <v>0</v>
      </c>
    </row>
    <row r="356" spans="2:10" ht="13.5" thickBot="1">
      <c r="B356" s="32" t="s">
        <v>9</v>
      </c>
      <c r="C356" s="169">
        <f>SUM(C350:C355)</f>
        <v>28363640.889999997</v>
      </c>
      <c r="D356" s="169">
        <f aca="true" t="shared" si="59" ref="D356:J356">SUM(D350:D355)</f>
        <v>-576687.12</v>
      </c>
      <c r="E356" s="169">
        <f t="shared" si="59"/>
        <v>66889269.07</v>
      </c>
      <c r="F356" s="169">
        <f t="shared" si="59"/>
        <v>-725931.9</v>
      </c>
      <c r="G356" s="169">
        <f t="shared" si="59"/>
        <v>-70765474.45</v>
      </c>
      <c r="H356" s="169">
        <f t="shared" si="59"/>
        <v>0</v>
      </c>
      <c r="I356" s="169">
        <f t="shared" si="59"/>
        <v>10567339.83</v>
      </c>
      <c r="J356" s="169">
        <f t="shared" si="59"/>
        <v>33752156.31999999</v>
      </c>
    </row>
    <row r="357" ht="13.5" thickTop="1"/>
    <row r="361" spans="2:10" ht="12.75">
      <c r="B361" s="184"/>
      <c r="C361" s="160">
        <v>42917</v>
      </c>
      <c r="D361" s="160">
        <v>42917</v>
      </c>
      <c r="E361" s="161" t="s">
        <v>509</v>
      </c>
      <c r="F361" s="162" t="s">
        <v>92</v>
      </c>
      <c r="G361" s="161" t="str">
        <f>E361</f>
        <v>Till 31-12-2017</v>
      </c>
      <c r="H361" s="163"/>
      <c r="I361" s="161" t="str">
        <f>E361</f>
        <v>Till 31-12-2017</v>
      </c>
      <c r="J361" s="161" t="s">
        <v>508</v>
      </c>
    </row>
    <row r="362" spans="2:10" ht="12.75">
      <c r="B362" s="39"/>
      <c r="C362" s="164"/>
      <c r="D362" s="164"/>
      <c r="E362" s="165"/>
      <c r="F362" s="165"/>
      <c r="G362" s="165"/>
      <c r="H362" s="237" t="s">
        <v>344</v>
      </c>
      <c r="I362" s="165"/>
      <c r="J362" s="165"/>
    </row>
    <row r="363" spans="2:10" ht="12.75">
      <c r="B363" s="166" t="s">
        <v>47</v>
      </c>
      <c r="C363" s="167">
        <v>668316</v>
      </c>
      <c r="D363" s="167">
        <v>0</v>
      </c>
      <c r="E363" s="168">
        <v>106124000</v>
      </c>
      <c r="F363" s="168">
        <v>-668316</v>
      </c>
      <c r="G363" s="168">
        <f>-53463235.03-13967918.68</f>
        <v>-67431153.71000001</v>
      </c>
      <c r="H363" s="168">
        <v>0</v>
      </c>
      <c r="I363" s="168">
        <v>0</v>
      </c>
      <c r="J363" s="168">
        <f aca="true" t="shared" si="60" ref="J363:J368">C363+D363+E363+F363+M363+G363+I363</f>
        <v>38692846.28999999</v>
      </c>
    </row>
    <row r="364" spans="2:10" ht="12.75">
      <c r="B364" s="166" t="s">
        <v>48</v>
      </c>
      <c r="C364" s="167">
        <v>22656537.4</v>
      </c>
      <c r="D364" s="167">
        <v>-56223.22</v>
      </c>
      <c r="E364" s="168">
        <v>23735029.85</v>
      </c>
      <c r="F364" s="168">
        <v>-57615.9</v>
      </c>
      <c r="G364" s="168">
        <f>-26780737.81-139805.55</f>
        <v>-26920543.36</v>
      </c>
      <c r="H364" s="168"/>
      <c r="I364" s="167">
        <v>102516.08</v>
      </c>
      <c r="J364" s="168">
        <f t="shared" si="60"/>
        <v>19459700.85</v>
      </c>
    </row>
    <row r="365" spans="2:10" ht="12.75">
      <c r="B365" s="166" t="s">
        <v>49</v>
      </c>
      <c r="C365" s="167">
        <v>300000</v>
      </c>
      <c r="D365" s="167"/>
      <c r="E365" s="168">
        <v>0</v>
      </c>
      <c r="F365" s="168"/>
      <c r="G365" s="168">
        <v>0</v>
      </c>
      <c r="H365" s="168">
        <v>0</v>
      </c>
      <c r="I365" s="167">
        <v>0</v>
      </c>
      <c r="J365" s="168">
        <f t="shared" si="60"/>
        <v>300000</v>
      </c>
    </row>
    <row r="366" spans="2:10" ht="12.75">
      <c r="B366" s="166" t="s">
        <v>50</v>
      </c>
      <c r="C366" s="167">
        <f>1518294.13+2991282.53</f>
        <v>4509576.66</v>
      </c>
      <c r="D366" s="167">
        <v>-422643</v>
      </c>
      <c r="E366" s="168">
        <v>0</v>
      </c>
      <c r="F366" s="168">
        <v>0</v>
      </c>
      <c r="G366" s="168">
        <v>0</v>
      </c>
      <c r="H366" s="168">
        <v>0</v>
      </c>
      <c r="I366" s="167">
        <v>422643</v>
      </c>
      <c r="J366" s="168">
        <f t="shared" si="60"/>
        <v>4509576.66</v>
      </c>
    </row>
    <row r="367" spans="2:10" ht="12.75">
      <c r="B367" s="166" t="s">
        <v>51</v>
      </c>
      <c r="C367" s="167">
        <v>229210.83</v>
      </c>
      <c r="D367" s="167">
        <v>-97820.9</v>
      </c>
      <c r="E367" s="168">
        <v>1253666.57</v>
      </c>
      <c r="F367" s="168"/>
      <c r="G367" s="168">
        <v>-1752551.08</v>
      </c>
      <c r="H367" s="168">
        <v>0</v>
      </c>
      <c r="I367" s="168">
        <v>467599.58</v>
      </c>
      <c r="J367" s="168">
        <f t="shared" si="60"/>
        <v>100104.99999999994</v>
      </c>
    </row>
    <row r="368" spans="2:10" ht="12.75">
      <c r="B368" s="166" t="s">
        <v>52</v>
      </c>
      <c r="C368" s="167">
        <v>0</v>
      </c>
      <c r="D368" s="167"/>
      <c r="E368" s="168"/>
      <c r="F368" s="168"/>
      <c r="G368" s="168">
        <v>0</v>
      </c>
      <c r="H368" s="168"/>
      <c r="I368" s="168"/>
      <c r="J368" s="168">
        <f t="shared" si="60"/>
        <v>0</v>
      </c>
    </row>
    <row r="369" spans="2:10" ht="13.5" thickBot="1">
      <c r="B369" s="32" t="s">
        <v>9</v>
      </c>
      <c r="C369" s="169">
        <f>SUM(C363:C368)</f>
        <v>28363640.889999997</v>
      </c>
      <c r="D369" s="169">
        <f aca="true" t="shared" si="61" ref="D369:J369">SUM(D363:D368)</f>
        <v>-576687.12</v>
      </c>
      <c r="E369" s="169">
        <f t="shared" si="61"/>
        <v>131112696.41999999</v>
      </c>
      <c r="F369" s="169">
        <f t="shared" si="61"/>
        <v>-725931.9</v>
      </c>
      <c r="G369" s="169">
        <f t="shared" si="61"/>
        <v>-96104248.15</v>
      </c>
      <c r="H369" s="169">
        <f t="shared" si="61"/>
        <v>0</v>
      </c>
      <c r="I369" s="169">
        <f t="shared" si="61"/>
        <v>992758.6599999999</v>
      </c>
      <c r="J369" s="169">
        <f t="shared" si="61"/>
        <v>63062228.8</v>
      </c>
    </row>
    <row r="370" ht="13.5" thickTop="1"/>
    <row r="374" spans="2:10" ht="12.75">
      <c r="B374" s="184"/>
      <c r="C374" s="160">
        <v>42917</v>
      </c>
      <c r="D374" s="160">
        <v>42917</v>
      </c>
      <c r="E374" s="161" t="s">
        <v>511</v>
      </c>
      <c r="F374" s="162" t="s">
        <v>92</v>
      </c>
      <c r="G374" s="161" t="str">
        <f>E374</f>
        <v>Till 31-01-2018</v>
      </c>
      <c r="H374" s="163"/>
      <c r="I374" s="161" t="str">
        <f>E374</f>
        <v>Till 31-01-2018</v>
      </c>
      <c r="J374" s="161" t="s">
        <v>510</v>
      </c>
    </row>
    <row r="375" spans="2:10" ht="12.75">
      <c r="B375" s="39"/>
      <c r="C375" s="164"/>
      <c r="D375" s="164"/>
      <c r="E375" s="165"/>
      <c r="F375" s="165"/>
      <c r="G375" s="165"/>
      <c r="H375" s="237" t="s">
        <v>344</v>
      </c>
      <c r="I375" s="165"/>
      <c r="J375" s="165"/>
    </row>
    <row r="376" spans="2:10" ht="12.75">
      <c r="B376" s="166" t="s">
        <v>47</v>
      </c>
      <c r="C376" s="167">
        <v>668316</v>
      </c>
      <c r="D376" s="167">
        <v>0</v>
      </c>
      <c r="E376" s="168">
        <v>106124000</v>
      </c>
      <c r="F376" s="168">
        <v>-668316</v>
      </c>
      <c r="G376" s="168">
        <f>-64714246.02-15110943.85</f>
        <v>-79825189.87</v>
      </c>
      <c r="H376" s="168">
        <v>0</v>
      </c>
      <c r="I376" s="168">
        <v>0</v>
      </c>
      <c r="J376" s="168">
        <f aca="true" t="shared" si="62" ref="J376:J381">C376+D376+E376+F376+M376+G376+I376</f>
        <v>26298810.129999995</v>
      </c>
    </row>
    <row r="377" spans="2:10" ht="12.75">
      <c r="B377" s="166" t="s">
        <v>48</v>
      </c>
      <c r="C377" s="167">
        <v>22656537.4</v>
      </c>
      <c r="D377" s="167">
        <v>-56223.22</v>
      </c>
      <c r="E377" s="168">
        <v>34139928.45</v>
      </c>
      <c r="F377" s="168">
        <v>-57615.9</v>
      </c>
      <c r="G377" s="168">
        <f>-37291593.25-234661.55</f>
        <v>-37526254.8</v>
      </c>
      <c r="H377" s="168"/>
      <c r="I377" s="167">
        <v>11744.98</v>
      </c>
      <c r="J377" s="168">
        <f t="shared" si="62"/>
        <v>19168116.910000008</v>
      </c>
    </row>
    <row r="378" spans="2:10" ht="12.75">
      <c r="B378" s="166" t="s">
        <v>49</v>
      </c>
      <c r="C378" s="167">
        <v>300000</v>
      </c>
      <c r="D378" s="167"/>
      <c r="E378" s="168">
        <v>0</v>
      </c>
      <c r="F378" s="168"/>
      <c r="G378" s="168">
        <v>-84563</v>
      </c>
      <c r="H378" s="168">
        <v>0</v>
      </c>
      <c r="I378" s="167">
        <v>0</v>
      </c>
      <c r="J378" s="168">
        <f t="shared" si="62"/>
        <v>215437</v>
      </c>
    </row>
    <row r="379" spans="2:10" ht="12.75">
      <c r="B379" s="166" t="s">
        <v>50</v>
      </c>
      <c r="C379" s="167">
        <f>1518294.13+2991282.53</f>
        <v>4509576.66</v>
      </c>
      <c r="D379" s="167">
        <v>-422643</v>
      </c>
      <c r="E379" s="168">
        <v>0</v>
      </c>
      <c r="F379" s="168">
        <v>0</v>
      </c>
      <c r="G379" s="168">
        <v>0</v>
      </c>
      <c r="H379" s="168">
        <v>0</v>
      </c>
      <c r="I379" s="167">
        <v>422643</v>
      </c>
      <c r="J379" s="168">
        <f t="shared" si="62"/>
        <v>4509576.66</v>
      </c>
    </row>
    <row r="380" spans="2:10" ht="12.75">
      <c r="B380" s="166" t="s">
        <v>51</v>
      </c>
      <c r="C380" s="167">
        <v>229210.83</v>
      </c>
      <c r="D380" s="167">
        <v>-97820.9</v>
      </c>
      <c r="E380" s="168">
        <v>1253666.57</v>
      </c>
      <c r="F380" s="168"/>
      <c r="G380" s="168">
        <f>-1935928.05</f>
        <v>-1935928.05</v>
      </c>
      <c r="H380" s="168">
        <v>0</v>
      </c>
      <c r="I380" s="168">
        <v>650976.55</v>
      </c>
      <c r="J380" s="168">
        <f t="shared" si="62"/>
        <v>100105</v>
      </c>
    </row>
    <row r="381" spans="2:10" ht="12.75">
      <c r="B381" s="166" t="s">
        <v>52</v>
      </c>
      <c r="C381" s="167">
        <v>0</v>
      </c>
      <c r="D381" s="167"/>
      <c r="E381" s="168"/>
      <c r="F381" s="168"/>
      <c r="G381" s="168">
        <v>0</v>
      </c>
      <c r="H381" s="168"/>
      <c r="I381" s="168"/>
      <c r="J381" s="168">
        <f t="shared" si="62"/>
        <v>0</v>
      </c>
    </row>
    <row r="382" spans="2:10" ht="13.5" thickBot="1">
      <c r="B382" s="32" t="s">
        <v>9</v>
      </c>
      <c r="C382" s="169">
        <f>SUM(C376:C381)</f>
        <v>28363640.889999997</v>
      </c>
      <c r="D382" s="169">
        <f aca="true" t="shared" si="63" ref="D382:J382">SUM(D376:D381)</f>
        <v>-576687.12</v>
      </c>
      <c r="E382" s="169">
        <f t="shared" si="63"/>
        <v>141517595.01999998</v>
      </c>
      <c r="F382" s="169">
        <f t="shared" si="63"/>
        <v>-725931.9</v>
      </c>
      <c r="G382" s="169">
        <f t="shared" si="63"/>
        <v>-119371935.72</v>
      </c>
      <c r="H382" s="169">
        <f t="shared" si="63"/>
        <v>0</v>
      </c>
      <c r="I382" s="169">
        <f t="shared" si="63"/>
        <v>1085364.53</v>
      </c>
      <c r="J382" s="169">
        <f t="shared" si="63"/>
        <v>50292045.7</v>
      </c>
    </row>
    <row r="383" ht="13.5" thickTop="1"/>
    <row r="387" spans="2:10" ht="12.75">
      <c r="B387" s="184"/>
      <c r="C387" s="160">
        <v>42917</v>
      </c>
      <c r="D387" s="160">
        <v>42917</v>
      </c>
      <c r="E387" s="161" t="s">
        <v>513</v>
      </c>
      <c r="F387" s="162" t="s">
        <v>92</v>
      </c>
      <c r="G387" s="161" t="str">
        <f>E387</f>
        <v>Till 28-02-2018</v>
      </c>
      <c r="H387" s="163"/>
      <c r="I387" s="161" t="str">
        <f>E387</f>
        <v>Till 28-02-2018</v>
      </c>
      <c r="J387" s="161" t="s">
        <v>512</v>
      </c>
    </row>
    <row r="388" spans="2:10" ht="12.75">
      <c r="B388" s="39"/>
      <c r="C388" s="164"/>
      <c r="D388" s="164"/>
      <c r="E388" s="165"/>
      <c r="F388" s="165"/>
      <c r="G388" s="165"/>
      <c r="H388" s="237" t="s">
        <v>344</v>
      </c>
      <c r="I388" s="165"/>
      <c r="J388" s="165"/>
    </row>
    <row r="389" spans="2:10" ht="12.75">
      <c r="B389" s="166" t="s">
        <v>47</v>
      </c>
      <c r="C389" s="167">
        <v>668316</v>
      </c>
      <c r="D389" s="167">
        <v>0</v>
      </c>
      <c r="E389" s="168">
        <v>106752000</v>
      </c>
      <c r="F389" s="168">
        <v>-668316</v>
      </c>
      <c r="G389" s="168">
        <f>-75865211.41-17934012.82</f>
        <v>-93799224.22999999</v>
      </c>
      <c r="H389" s="168">
        <v>0</v>
      </c>
      <c r="I389" s="168">
        <v>0</v>
      </c>
      <c r="J389" s="168">
        <f aca="true" t="shared" si="64" ref="J389:J394">C389+D389+E389+F389+M389+G389+I389</f>
        <v>12952775.77000001</v>
      </c>
    </row>
    <row r="390" spans="2:10" ht="12.75">
      <c r="B390" s="166" t="s">
        <v>48</v>
      </c>
      <c r="C390" s="167">
        <v>22656537.4</v>
      </c>
      <c r="D390" s="167">
        <v>-56223.22</v>
      </c>
      <c r="E390" s="168">
        <v>39278928.45</v>
      </c>
      <c r="F390" s="168">
        <v>-57615.9</v>
      </c>
      <c r="G390" s="168">
        <f>-37951277.32-234661.55</f>
        <v>-38185938.87</v>
      </c>
      <c r="H390" s="168"/>
      <c r="I390" s="167">
        <v>16843.12</v>
      </c>
      <c r="J390" s="168">
        <f t="shared" si="64"/>
        <v>23652530.980000008</v>
      </c>
    </row>
    <row r="391" spans="2:10" ht="12.75">
      <c r="B391" s="166" t="s">
        <v>49</v>
      </c>
      <c r="C391" s="167">
        <v>300000</v>
      </c>
      <c r="D391" s="167"/>
      <c r="E391" s="168">
        <v>0</v>
      </c>
      <c r="F391" s="168"/>
      <c r="G391" s="168">
        <v>-84563</v>
      </c>
      <c r="H391" s="168">
        <v>0</v>
      </c>
      <c r="I391" s="167">
        <v>0</v>
      </c>
      <c r="J391" s="168">
        <f t="shared" si="64"/>
        <v>215437</v>
      </c>
    </row>
    <row r="392" spans="2:10" ht="12.75">
      <c r="B392" s="166" t="s">
        <v>50</v>
      </c>
      <c r="C392" s="167">
        <f>1518294.13+2991282.53</f>
        <v>4509576.66</v>
      </c>
      <c r="D392" s="167">
        <v>-422643</v>
      </c>
      <c r="E392" s="168">
        <v>0</v>
      </c>
      <c r="F392" s="168">
        <v>0</v>
      </c>
      <c r="G392" s="168">
        <v>0</v>
      </c>
      <c r="H392" s="168">
        <v>0</v>
      </c>
      <c r="I392" s="167">
        <v>422643</v>
      </c>
      <c r="J392" s="168">
        <f t="shared" si="64"/>
        <v>4509576.66</v>
      </c>
    </row>
    <row r="393" spans="2:10" ht="12.75">
      <c r="B393" s="166" t="s">
        <v>51</v>
      </c>
      <c r="C393" s="167">
        <v>229210.83</v>
      </c>
      <c r="D393" s="167">
        <v>-97820.9</v>
      </c>
      <c r="E393" s="168">
        <v>1778285.02</v>
      </c>
      <c r="F393" s="168"/>
      <c r="G393" s="168">
        <v>-2258374.53</v>
      </c>
      <c r="H393" s="168">
        <v>0</v>
      </c>
      <c r="I393" s="168">
        <v>451317.5</v>
      </c>
      <c r="J393" s="168">
        <f t="shared" si="64"/>
        <v>102617.92000000016</v>
      </c>
    </row>
    <row r="394" spans="2:10" ht="12.75">
      <c r="B394" s="166" t="s">
        <v>52</v>
      </c>
      <c r="C394" s="167">
        <v>0</v>
      </c>
      <c r="D394" s="167"/>
      <c r="E394" s="168"/>
      <c r="F394" s="168"/>
      <c r="G394" s="168">
        <v>0</v>
      </c>
      <c r="H394" s="168"/>
      <c r="I394" s="168"/>
      <c r="J394" s="168">
        <f t="shared" si="64"/>
        <v>0</v>
      </c>
    </row>
    <row r="395" spans="2:10" ht="13.5" thickBot="1">
      <c r="B395" s="32" t="s">
        <v>9</v>
      </c>
      <c r="C395" s="169">
        <f>SUM(C389:C394)</f>
        <v>28363640.889999997</v>
      </c>
      <c r="D395" s="169">
        <f aca="true" t="shared" si="65" ref="D395:J395">SUM(D389:D394)</f>
        <v>-576687.12</v>
      </c>
      <c r="E395" s="169">
        <f t="shared" si="65"/>
        <v>147809213.47</v>
      </c>
      <c r="F395" s="169">
        <f t="shared" si="65"/>
        <v>-725931.9</v>
      </c>
      <c r="G395" s="169">
        <f t="shared" si="65"/>
        <v>-134328100.63</v>
      </c>
      <c r="H395" s="169">
        <f t="shared" si="65"/>
        <v>0</v>
      </c>
      <c r="I395" s="169">
        <f t="shared" si="65"/>
        <v>890803.62</v>
      </c>
      <c r="J395" s="169">
        <f t="shared" si="65"/>
        <v>41432938.33000001</v>
      </c>
    </row>
    <row r="396" ht="13.5" thickTop="1"/>
    <row r="397" ht="15" customHeight="1"/>
    <row r="399" spans="2:10" ht="12.75">
      <c r="B399" s="184"/>
      <c r="C399" s="160">
        <v>42917</v>
      </c>
      <c r="D399" s="160">
        <v>42917</v>
      </c>
      <c r="E399" s="161" t="s">
        <v>520</v>
      </c>
      <c r="F399" s="162" t="s">
        <v>92</v>
      </c>
      <c r="G399" s="161" t="str">
        <f>E399</f>
        <v>Till 31-03-2018</v>
      </c>
      <c r="H399" s="163"/>
      <c r="I399" s="161" t="str">
        <f>E399</f>
        <v>Till 31-03-2018</v>
      </c>
      <c r="J399" s="161" t="s">
        <v>519</v>
      </c>
    </row>
    <row r="400" spans="2:10" ht="12.75">
      <c r="B400" s="39"/>
      <c r="C400" s="164"/>
      <c r="D400" s="164"/>
      <c r="E400" s="165"/>
      <c r="F400" s="165"/>
      <c r="G400" s="165"/>
      <c r="H400" s="237" t="s">
        <v>344</v>
      </c>
      <c r="I400" s="165"/>
      <c r="J400" s="165"/>
    </row>
    <row r="401" spans="2:10" ht="12.75">
      <c r="B401" s="166" t="s">
        <v>47</v>
      </c>
      <c r="C401" s="167">
        <v>668316</v>
      </c>
      <c r="D401" s="167">
        <v>0</v>
      </c>
      <c r="E401" s="168">
        <v>144747000</v>
      </c>
      <c r="F401" s="168">
        <v>-668316</v>
      </c>
      <c r="G401" s="168">
        <f>-82449626.56-19505568.59</f>
        <v>-101955195.15</v>
      </c>
      <c r="H401" s="168">
        <v>0</v>
      </c>
      <c r="I401" s="168">
        <v>0</v>
      </c>
      <c r="J401" s="168">
        <f aca="true" t="shared" si="66" ref="J401:J406">C401+D401+E401+F401+M401+G401+I401</f>
        <v>42791804.849999994</v>
      </c>
    </row>
    <row r="402" spans="2:10" ht="12.75">
      <c r="B402" s="166" t="s">
        <v>48</v>
      </c>
      <c r="C402" s="167">
        <v>22656537.4</v>
      </c>
      <c r="D402" s="167">
        <v>-56223.22</v>
      </c>
      <c r="E402" s="168">
        <v>60484312.45</v>
      </c>
      <c r="F402" s="168">
        <v>-57615.9</v>
      </c>
      <c r="G402" s="168">
        <f>-17333148.76-22757931.13</f>
        <v>-40091079.89</v>
      </c>
      <c r="H402" s="168"/>
      <c r="I402" s="167">
        <v>28490.41</v>
      </c>
      <c r="J402" s="168">
        <f t="shared" si="66"/>
        <v>42964421.249999985</v>
      </c>
    </row>
    <row r="403" spans="2:10" ht="12.75">
      <c r="B403" s="166" t="s">
        <v>49</v>
      </c>
      <c r="C403" s="167">
        <v>300000</v>
      </c>
      <c r="D403" s="167"/>
      <c r="E403" s="168">
        <v>0</v>
      </c>
      <c r="F403" s="168"/>
      <c r="G403" s="168">
        <v>-91997.42</v>
      </c>
      <c r="H403" s="168">
        <v>0</v>
      </c>
      <c r="I403" s="167">
        <v>0</v>
      </c>
      <c r="J403" s="168">
        <f t="shared" si="66"/>
        <v>208002.58000000002</v>
      </c>
    </row>
    <row r="404" spans="2:10" ht="12.75">
      <c r="B404" s="166" t="s">
        <v>50</v>
      </c>
      <c r="C404" s="167">
        <f>1518294.13+2991282.53</f>
        <v>4509576.66</v>
      </c>
      <c r="D404" s="167">
        <v>-422643</v>
      </c>
      <c r="E404" s="168">
        <v>0</v>
      </c>
      <c r="F404" s="168">
        <v>0</v>
      </c>
      <c r="G404" s="168">
        <v>0</v>
      </c>
      <c r="H404" s="168">
        <v>0</v>
      </c>
      <c r="I404" s="167">
        <v>422643</v>
      </c>
      <c r="J404" s="168">
        <f t="shared" si="66"/>
        <v>4509576.66</v>
      </c>
    </row>
    <row r="405" spans="2:10" ht="12.75">
      <c r="B405" s="166" t="s">
        <v>51</v>
      </c>
      <c r="C405" s="167">
        <v>229210.83</v>
      </c>
      <c r="D405" s="167">
        <v>-97820.9</v>
      </c>
      <c r="E405" s="168">
        <v>1898285.02</v>
      </c>
      <c r="F405" s="168"/>
      <c r="G405" s="168">
        <v>-2987167.9</v>
      </c>
      <c r="H405" s="168">
        <v>0</v>
      </c>
      <c r="I405" s="168">
        <v>1060110.87</v>
      </c>
      <c r="J405" s="168">
        <f t="shared" si="66"/>
        <v>102617.92000000016</v>
      </c>
    </row>
    <row r="406" spans="2:10" ht="12.75">
      <c r="B406" s="166" t="s">
        <v>52</v>
      </c>
      <c r="C406" s="167">
        <v>0</v>
      </c>
      <c r="D406" s="167"/>
      <c r="E406" s="168"/>
      <c r="F406" s="168"/>
      <c r="G406" s="168">
        <v>0</v>
      </c>
      <c r="H406" s="168"/>
      <c r="I406" s="168"/>
      <c r="J406" s="168">
        <f t="shared" si="66"/>
        <v>0</v>
      </c>
    </row>
    <row r="407" spans="2:10" ht="13.5" thickBot="1">
      <c r="B407" s="32" t="s">
        <v>9</v>
      </c>
      <c r="C407" s="169">
        <f>SUM(C401:C406)</f>
        <v>28363640.889999997</v>
      </c>
      <c r="D407" s="169">
        <f aca="true" t="shared" si="67" ref="D407:J407">SUM(D401:D406)</f>
        <v>-576687.12</v>
      </c>
      <c r="E407" s="169">
        <f t="shared" si="67"/>
        <v>207129597.47</v>
      </c>
      <c r="F407" s="169">
        <f t="shared" si="67"/>
        <v>-725931.9</v>
      </c>
      <c r="G407" s="169">
        <f t="shared" si="67"/>
        <v>-145125440.36</v>
      </c>
      <c r="H407" s="169">
        <f t="shared" si="67"/>
        <v>0</v>
      </c>
      <c r="I407" s="169">
        <f t="shared" si="67"/>
        <v>1511244.28</v>
      </c>
      <c r="J407" s="169">
        <f t="shared" si="67"/>
        <v>90576423.25999998</v>
      </c>
    </row>
    <row r="408" ht="13.5" thickTop="1"/>
    <row r="412" ht="13.5" customHeight="1"/>
    <row r="413" spans="2:10" ht="12.75">
      <c r="B413" s="184"/>
      <c r="C413" s="160">
        <v>42917</v>
      </c>
      <c r="D413" s="160">
        <v>42917</v>
      </c>
      <c r="E413" s="161" t="s">
        <v>524</v>
      </c>
      <c r="F413" s="162" t="s">
        <v>92</v>
      </c>
      <c r="G413" s="161" t="str">
        <f>E413</f>
        <v>Till 30-04-2018</v>
      </c>
      <c r="H413" s="163"/>
      <c r="I413" s="161" t="str">
        <f>E413</f>
        <v>Till 30-04-2018</v>
      </c>
      <c r="J413" s="161" t="s">
        <v>523</v>
      </c>
    </row>
    <row r="414" spans="2:10" ht="12.75">
      <c r="B414" s="39"/>
      <c r="C414" s="164"/>
      <c r="D414" s="164"/>
      <c r="E414" s="165"/>
      <c r="F414" s="165"/>
      <c r="G414" s="165"/>
      <c r="H414" s="237" t="s">
        <v>344</v>
      </c>
      <c r="I414" s="165"/>
      <c r="J414" s="165"/>
    </row>
    <row r="415" spans="2:10" ht="12.75">
      <c r="B415" s="166" t="s">
        <v>47</v>
      </c>
      <c r="C415" s="167">
        <v>668316</v>
      </c>
      <c r="D415" s="167">
        <v>0</v>
      </c>
      <c r="E415" s="168">
        <v>144747000</v>
      </c>
      <c r="F415" s="168">
        <v>-668316</v>
      </c>
      <c r="G415" s="168">
        <f>-88666790.89-23937605.57</f>
        <v>-112604396.46000001</v>
      </c>
      <c r="H415" s="168">
        <v>0</v>
      </c>
      <c r="I415" s="168">
        <v>0</v>
      </c>
      <c r="J415" s="168">
        <f aca="true" t="shared" si="68" ref="J415:J420">C415+D415+E415+F415+M415+G415+I415</f>
        <v>32142603.53999999</v>
      </c>
    </row>
    <row r="416" spans="2:10" ht="12.75">
      <c r="B416" s="166" t="s">
        <v>48</v>
      </c>
      <c r="C416" s="167">
        <v>22656537.4</v>
      </c>
      <c r="D416" s="167">
        <v>-56223.22</v>
      </c>
      <c r="E416" s="168">
        <v>78172846.1</v>
      </c>
      <c r="F416" s="168">
        <v>-57615.9</v>
      </c>
      <c r="G416" s="168">
        <f>-20970344.92-25043196.27</f>
        <v>-46013541.19</v>
      </c>
      <c r="H416" s="168"/>
      <c r="I416" s="167">
        <v>691818.6</v>
      </c>
      <c r="J416" s="168">
        <f t="shared" si="68"/>
        <v>55393821.79</v>
      </c>
    </row>
    <row r="417" spans="2:10" ht="12.75">
      <c r="B417" s="166" t="s">
        <v>49</v>
      </c>
      <c r="C417" s="167">
        <v>300000</v>
      </c>
      <c r="D417" s="167"/>
      <c r="E417" s="168">
        <v>0</v>
      </c>
      <c r="F417" s="168"/>
      <c r="G417" s="168">
        <v>-91997.42</v>
      </c>
      <c r="H417" s="168">
        <v>0</v>
      </c>
      <c r="I417" s="167">
        <v>0</v>
      </c>
      <c r="J417" s="168">
        <f t="shared" si="68"/>
        <v>208002.58000000002</v>
      </c>
    </row>
    <row r="418" spans="2:10" ht="12.75">
      <c r="B418" s="166" t="s">
        <v>50</v>
      </c>
      <c r="C418" s="167">
        <f>1518294.13+2991282.53</f>
        <v>4509576.66</v>
      </c>
      <c r="D418" s="167">
        <v>-422643</v>
      </c>
      <c r="E418" s="168">
        <v>0</v>
      </c>
      <c r="F418" s="168">
        <v>0</v>
      </c>
      <c r="G418" s="168">
        <v>0</v>
      </c>
      <c r="H418" s="168">
        <v>0</v>
      </c>
      <c r="I418" s="167">
        <v>422643</v>
      </c>
      <c r="J418" s="168">
        <f t="shared" si="68"/>
        <v>4509576.66</v>
      </c>
    </row>
    <row r="419" spans="2:10" ht="12.75">
      <c r="B419" s="166" t="s">
        <v>51</v>
      </c>
      <c r="C419" s="167">
        <v>229210.83</v>
      </c>
      <c r="D419" s="167">
        <v>-97820.9</v>
      </c>
      <c r="E419" s="168">
        <v>1898285.02</v>
      </c>
      <c r="F419" s="168"/>
      <c r="G419" s="168">
        <v>-3235907.07</v>
      </c>
      <c r="H419" s="168">
        <v>0</v>
      </c>
      <c r="I419" s="168">
        <v>1256232.12</v>
      </c>
      <c r="J419" s="168">
        <f t="shared" si="68"/>
        <v>50000.00000000023</v>
      </c>
    </row>
    <row r="420" spans="2:10" ht="12.75">
      <c r="B420" s="166" t="s">
        <v>52</v>
      </c>
      <c r="C420" s="167">
        <v>0</v>
      </c>
      <c r="D420" s="167"/>
      <c r="E420" s="168"/>
      <c r="F420" s="168"/>
      <c r="G420" s="168">
        <v>0</v>
      </c>
      <c r="H420" s="168"/>
      <c r="I420" s="168"/>
      <c r="J420" s="168">
        <f t="shared" si="68"/>
        <v>0</v>
      </c>
    </row>
    <row r="421" spans="2:10" ht="13.5" thickBot="1">
      <c r="B421" s="32" t="s">
        <v>9</v>
      </c>
      <c r="C421" s="169">
        <f>SUM(C415:C420)</f>
        <v>28363640.889999997</v>
      </c>
      <c r="D421" s="169">
        <f aca="true" t="shared" si="69" ref="D421:J421">SUM(D415:D420)</f>
        <v>-576687.12</v>
      </c>
      <c r="E421" s="169">
        <f t="shared" si="69"/>
        <v>224818131.12</v>
      </c>
      <c r="F421" s="169">
        <f t="shared" si="69"/>
        <v>-725931.9</v>
      </c>
      <c r="G421" s="169">
        <f t="shared" si="69"/>
        <v>-161945842.14</v>
      </c>
      <c r="H421" s="169">
        <f t="shared" si="69"/>
        <v>0</v>
      </c>
      <c r="I421" s="169">
        <f t="shared" si="69"/>
        <v>2370693.72</v>
      </c>
      <c r="J421" s="169">
        <f t="shared" si="69"/>
        <v>92304004.56999998</v>
      </c>
    </row>
    <row r="422" ht="13.5" thickTop="1"/>
    <row r="424" spans="2:10" ht="12.75">
      <c r="B424" s="184"/>
      <c r="C424" s="160">
        <v>42917</v>
      </c>
      <c r="D424" s="160">
        <v>42917</v>
      </c>
      <c r="E424" s="161" t="s">
        <v>528</v>
      </c>
      <c r="F424" s="162" t="s">
        <v>92</v>
      </c>
      <c r="G424" s="161" t="str">
        <f>E424</f>
        <v>Till 31-05-2018</v>
      </c>
      <c r="H424" s="163"/>
      <c r="I424" s="161" t="str">
        <f>E424</f>
        <v>Till 31-05-2018</v>
      </c>
      <c r="J424" s="161" t="s">
        <v>527</v>
      </c>
    </row>
    <row r="425" spans="2:10" ht="12.75">
      <c r="B425" s="39"/>
      <c r="C425" s="164"/>
      <c r="D425" s="164"/>
      <c r="E425" s="165"/>
      <c r="F425" s="165"/>
      <c r="G425" s="165"/>
      <c r="H425" s="237" t="s">
        <v>344</v>
      </c>
      <c r="I425" s="165"/>
      <c r="J425" s="165"/>
    </row>
    <row r="426" spans="2:10" ht="12.75">
      <c r="B426" s="166" t="s">
        <v>47</v>
      </c>
      <c r="C426" s="167">
        <v>668316</v>
      </c>
      <c r="D426" s="167">
        <v>0</v>
      </c>
      <c r="E426" s="168">
        <v>144747000</v>
      </c>
      <c r="F426" s="168">
        <v>-668316</v>
      </c>
      <c r="G426" s="168">
        <v>-133201031.18</v>
      </c>
      <c r="H426" s="168">
        <v>0</v>
      </c>
      <c r="I426" s="168">
        <v>0</v>
      </c>
      <c r="J426" s="168">
        <f aca="true" t="shared" si="70" ref="J426:J431">C426+D426+E426+F426+M426+G426+I426</f>
        <v>11545968.819999993</v>
      </c>
    </row>
    <row r="427" spans="2:10" ht="12.75">
      <c r="B427" s="166" t="s">
        <v>48</v>
      </c>
      <c r="C427" s="167">
        <v>22656537.4</v>
      </c>
      <c r="D427" s="167">
        <v>-56223.22</v>
      </c>
      <c r="E427" s="168">
        <v>78965192.6</v>
      </c>
      <c r="F427" s="168">
        <v>-57615.9</v>
      </c>
      <c r="G427" s="168">
        <v>-48389283.54</v>
      </c>
      <c r="H427" s="168"/>
      <c r="I427" s="167">
        <v>50439.12</v>
      </c>
      <c r="J427" s="168">
        <f t="shared" si="70"/>
        <v>53169046.45999999</v>
      </c>
    </row>
    <row r="428" spans="2:10" ht="12.75">
      <c r="B428" s="166" t="s">
        <v>49</v>
      </c>
      <c r="C428" s="167">
        <v>300000</v>
      </c>
      <c r="D428" s="167"/>
      <c r="E428" s="168">
        <v>500000</v>
      </c>
      <c r="F428" s="168"/>
      <c r="G428" s="168">
        <v>-601567.42</v>
      </c>
      <c r="H428" s="168">
        <v>0</v>
      </c>
      <c r="I428" s="167">
        <v>0</v>
      </c>
      <c r="J428" s="168">
        <f t="shared" si="70"/>
        <v>198432.57999999996</v>
      </c>
    </row>
    <row r="429" spans="2:10" ht="12.75">
      <c r="B429" s="166" t="s">
        <v>50</v>
      </c>
      <c r="C429" s="167">
        <f>1518294.13+2991282.53</f>
        <v>4509576.66</v>
      </c>
      <c r="D429" s="167">
        <v>-422643</v>
      </c>
      <c r="E429" s="168">
        <v>0</v>
      </c>
      <c r="F429" s="168">
        <v>0</v>
      </c>
      <c r="G429" s="168">
        <v>0</v>
      </c>
      <c r="H429" s="168">
        <v>0</v>
      </c>
      <c r="I429" s="167">
        <v>422643</v>
      </c>
      <c r="J429" s="168">
        <f t="shared" si="70"/>
        <v>4509576.66</v>
      </c>
    </row>
    <row r="430" spans="2:10" ht="12.75">
      <c r="B430" s="166" t="s">
        <v>51</v>
      </c>
      <c r="C430" s="167">
        <v>229210.83</v>
      </c>
      <c r="D430" s="167">
        <v>-97820.9</v>
      </c>
      <c r="E430" s="168">
        <v>2034521.46</v>
      </c>
      <c r="F430" s="168"/>
      <c r="G430" s="168">
        <v>-3076106.6000000006</v>
      </c>
      <c r="H430" s="168">
        <v>0</v>
      </c>
      <c r="I430" s="168">
        <v>1060022.4</v>
      </c>
      <c r="J430" s="168">
        <f t="shared" si="70"/>
        <v>149827.18999999948</v>
      </c>
    </row>
    <row r="431" spans="2:10" ht="12.75">
      <c r="B431" s="166" t="s">
        <v>52</v>
      </c>
      <c r="C431" s="167">
        <v>0</v>
      </c>
      <c r="D431" s="167"/>
      <c r="E431" s="168"/>
      <c r="F431" s="168"/>
      <c r="G431" s="168">
        <v>0</v>
      </c>
      <c r="H431" s="168"/>
      <c r="I431" s="168"/>
      <c r="J431" s="168">
        <f t="shared" si="70"/>
        <v>0</v>
      </c>
    </row>
    <row r="432" spans="2:10" ht="13.5" thickBot="1">
      <c r="B432" s="32" t="s">
        <v>9</v>
      </c>
      <c r="C432" s="169">
        <f>SUM(C426:C431)</f>
        <v>28363640.889999997</v>
      </c>
      <c r="D432" s="169">
        <f aca="true" t="shared" si="71" ref="D432:J432">SUM(D426:D431)</f>
        <v>-576687.12</v>
      </c>
      <c r="E432" s="169">
        <f t="shared" si="71"/>
        <v>226246714.06</v>
      </c>
      <c r="F432" s="169">
        <f t="shared" si="71"/>
        <v>-725931.9</v>
      </c>
      <c r="G432" s="169">
        <f t="shared" si="71"/>
        <v>-185267988.73999998</v>
      </c>
      <c r="H432" s="169">
        <f t="shared" si="71"/>
        <v>0</v>
      </c>
      <c r="I432" s="169">
        <f t="shared" si="71"/>
        <v>1533104.52</v>
      </c>
      <c r="J432" s="169">
        <f t="shared" si="71"/>
        <v>69572851.70999998</v>
      </c>
    </row>
    <row r="433" ht="13.5" thickTop="1"/>
    <row r="435" spans="2:10" ht="12.75">
      <c r="B435" s="184"/>
      <c r="C435" s="160">
        <v>42917</v>
      </c>
      <c r="D435" s="160">
        <v>42917</v>
      </c>
      <c r="E435" s="161" t="s">
        <v>532</v>
      </c>
      <c r="F435" s="162" t="s">
        <v>92</v>
      </c>
      <c r="G435" s="161" t="str">
        <f>E435</f>
        <v>Till 30-06-2018</v>
      </c>
      <c r="H435" s="163"/>
      <c r="I435" s="161" t="str">
        <f>E435</f>
        <v>Till 30-06-2018</v>
      </c>
      <c r="J435" s="161" t="s">
        <v>531</v>
      </c>
    </row>
    <row r="436" spans="2:10" ht="12.75">
      <c r="B436" s="39"/>
      <c r="C436" s="164"/>
      <c r="D436" s="164"/>
      <c r="E436" s="165"/>
      <c r="F436" s="165"/>
      <c r="G436" s="165"/>
      <c r="H436" s="237" t="s">
        <v>344</v>
      </c>
      <c r="I436" s="165"/>
      <c r="J436" s="165"/>
    </row>
    <row r="437" spans="2:10" ht="12.75">
      <c r="B437" s="166" t="s">
        <v>47</v>
      </c>
      <c r="C437" s="167">
        <v>668316</v>
      </c>
      <c r="D437" s="167">
        <v>0</v>
      </c>
      <c r="E437" s="168">
        <v>144747000</v>
      </c>
      <c r="F437" s="168">
        <v>-668316</v>
      </c>
      <c r="G437" s="168">
        <f>-101740000-41783279.79</f>
        <v>-143523279.79</v>
      </c>
      <c r="H437" s="168">
        <v>0</v>
      </c>
      <c r="I437" s="168">
        <v>0</v>
      </c>
      <c r="J437" s="168">
        <f aca="true" t="shared" si="72" ref="J437:J442">C437+D437+E437+F437+M437+G437+I437</f>
        <v>1223720.2100000083</v>
      </c>
    </row>
    <row r="438" spans="2:10" ht="12.75">
      <c r="B438" s="166" t="s">
        <v>48</v>
      </c>
      <c r="C438" s="167">
        <v>22656537.4</v>
      </c>
      <c r="D438" s="167">
        <v>-56223.22</v>
      </c>
      <c r="E438" s="168">
        <v>78965192.6</v>
      </c>
      <c r="F438" s="168">
        <v>-57615.9</v>
      </c>
      <c r="G438" s="168">
        <f>-23089319.06-31576588.62</f>
        <v>-54665907.68</v>
      </c>
      <c r="H438" s="168"/>
      <c r="I438" s="167">
        <v>50439.12</v>
      </c>
      <c r="J438" s="168">
        <f t="shared" si="72"/>
        <v>46892422.31999999</v>
      </c>
    </row>
    <row r="439" spans="2:10" ht="12.75">
      <c r="B439" s="166" t="s">
        <v>49</v>
      </c>
      <c r="C439" s="167">
        <v>300000</v>
      </c>
      <c r="D439" s="167"/>
      <c r="E439" s="168">
        <v>500000</v>
      </c>
      <c r="F439" s="168"/>
      <c r="G439" s="168">
        <v>-668453.62</v>
      </c>
      <c r="H439" s="168">
        <v>0</v>
      </c>
      <c r="I439" s="167">
        <v>0</v>
      </c>
      <c r="J439" s="168">
        <f t="shared" si="72"/>
        <v>131546.38</v>
      </c>
    </row>
    <row r="440" spans="2:10" ht="12.75">
      <c r="B440" s="166" t="s">
        <v>50</v>
      </c>
      <c r="C440" s="167">
        <f>1518294.13+2991282.53</f>
        <v>4509576.66</v>
      </c>
      <c r="D440" s="167">
        <v>-422643</v>
      </c>
      <c r="E440" s="168">
        <v>0</v>
      </c>
      <c r="F440" s="168">
        <v>0</v>
      </c>
      <c r="G440" s="168">
        <v>0</v>
      </c>
      <c r="H440" s="168">
        <v>0</v>
      </c>
      <c r="I440" s="167">
        <v>422643</v>
      </c>
      <c r="J440" s="168">
        <f t="shared" si="72"/>
        <v>4509576.66</v>
      </c>
    </row>
    <row r="441" spans="2:10" ht="12.75">
      <c r="B441" s="166" t="s">
        <v>51</v>
      </c>
      <c r="C441" s="167">
        <v>229210.83</v>
      </c>
      <c r="D441" s="167">
        <v>-97820.9</v>
      </c>
      <c r="E441" s="168">
        <v>2034521.46</v>
      </c>
      <c r="F441" s="168"/>
      <c r="G441" s="168">
        <v>-3128050.37</v>
      </c>
      <c r="H441" s="168">
        <v>0</v>
      </c>
      <c r="I441" s="168">
        <v>1107966.17</v>
      </c>
      <c r="J441" s="168">
        <f t="shared" si="72"/>
        <v>145827.18999999994</v>
      </c>
    </row>
    <row r="442" spans="2:10" ht="12.75">
      <c r="B442" s="166" t="s">
        <v>52</v>
      </c>
      <c r="C442" s="167">
        <v>0</v>
      </c>
      <c r="D442" s="167"/>
      <c r="E442" s="168"/>
      <c r="F442" s="168"/>
      <c r="G442" s="168">
        <v>0</v>
      </c>
      <c r="H442" s="168"/>
      <c r="I442" s="168"/>
      <c r="J442" s="168">
        <f t="shared" si="72"/>
        <v>0</v>
      </c>
    </row>
    <row r="443" spans="2:10" ht="13.5" thickBot="1">
      <c r="B443" s="32" t="s">
        <v>9</v>
      </c>
      <c r="C443" s="169">
        <f>SUM(C437:C442)</f>
        <v>28363640.889999997</v>
      </c>
      <c r="D443" s="169">
        <f aca="true" t="shared" si="73" ref="D443:J443">SUM(D437:D442)</f>
        <v>-576687.12</v>
      </c>
      <c r="E443" s="169">
        <f t="shared" si="73"/>
        <v>226246714.06</v>
      </c>
      <c r="F443" s="169">
        <f t="shared" si="73"/>
        <v>-725931.9</v>
      </c>
      <c r="G443" s="169">
        <f t="shared" si="73"/>
        <v>-201985691.46</v>
      </c>
      <c r="H443" s="169">
        <f t="shared" si="73"/>
        <v>0</v>
      </c>
      <c r="I443" s="169">
        <f t="shared" si="73"/>
        <v>1581048.29</v>
      </c>
      <c r="J443" s="169">
        <f t="shared" si="73"/>
        <v>52903092.760000005</v>
      </c>
    </row>
    <row r="444" ht="13.5" thickTop="1"/>
    <row r="445" spans="2:10" ht="12.75">
      <c r="B445" s="184"/>
      <c r="C445" s="160">
        <v>43282</v>
      </c>
      <c r="D445" s="160">
        <f>C445</f>
        <v>43282</v>
      </c>
      <c r="E445" s="161" t="s">
        <v>539</v>
      </c>
      <c r="F445" s="162" t="s">
        <v>92</v>
      </c>
      <c r="G445" s="161" t="str">
        <f>E445</f>
        <v>Till 31-07-2018</v>
      </c>
      <c r="H445" s="163"/>
      <c r="I445" s="161" t="str">
        <f>E445</f>
        <v>Till 31-07-2018</v>
      </c>
      <c r="J445" s="161" t="s">
        <v>538</v>
      </c>
    </row>
    <row r="446" spans="2:10" ht="12.75">
      <c r="B446" s="39"/>
      <c r="C446" s="164"/>
      <c r="D446" s="164"/>
      <c r="E446" s="165"/>
      <c r="F446" s="165"/>
      <c r="G446" s="165"/>
      <c r="H446" s="237" t="s">
        <v>344</v>
      </c>
      <c r="I446" s="165"/>
      <c r="J446" s="165"/>
    </row>
    <row r="447" spans="2:10" ht="12.75">
      <c r="B447" s="166" t="s">
        <v>47</v>
      </c>
      <c r="C447" s="167">
        <v>0</v>
      </c>
      <c r="D447" s="167">
        <v>0</v>
      </c>
      <c r="E447" s="168">
        <v>57907000</v>
      </c>
      <c r="F447" s="168">
        <v>0</v>
      </c>
      <c r="G447" s="168">
        <v>-9081400</v>
      </c>
      <c r="H447" s="168">
        <v>0</v>
      </c>
      <c r="I447" s="168">
        <v>0</v>
      </c>
      <c r="J447" s="168">
        <f aca="true" t="shared" si="74" ref="J447:J452">C447+D447+E447+F447+M447+G447+I447</f>
        <v>48825600</v>
      </c>
    </row>
    <row r="448" spans="2:10" ht="12.75">
      <c r="B448" s="166" t="s">
        <v>48</v>
      </c>
      <c r="C448" s="167">
        <v>46671617.32</v>
      </c>
      <c r="D448" s="167">
        <v>0</v>
      </c>
      <c r="E448" s="168">
        <v>0</v>
      </c>
      <c r="F448" s="168">
        <v>0</v>
      </c>
      <c r="G448" s="168">
        <f>-646700.11-861388.99</f>
        <v>-1508089.1</v>
      </c>
      <c r="H448" s="168"/>
      <c r="I448" s="167">
        <v>630033.45</v>
      </c>
      <c r="J448" s="168">
        <f t="shared" si="74"/>
        <v>45793561.67</v>
      </c>
    </row>
    <row r="449" spans="2:10" ht="12.75">
      <c r="B449" s="166" t="s">
        <v>49</v>
      </c>
      <c r="C449" s="167">
        <v>0</v>
      </c>
      <c r="D449" s="167"/>
      <c r="E449" s="168">
        <v>0</v>
      </c>
      <c r="F449" s="168"/>
      <c r="G449" s="168">
        <v>0</v>
      </c>
      <c r="H449" s="168">
        <v>0</v>
      </c>
      <c r="I449" s="167">
        <v>0</v>
      </c>
      <c r="J449" s="168">
        <f t="shared" si="74"/>
        <v>0</v>
      </c>
    </row>
    <row r="450" spans="2:10" ht="12.75">
      <c r="B450" s="166" t="s">
        <v>50</v>
      </c>
      <c r="C450" s="167">
        <f>1518294.13+2991282.53</f>
        <v>4509576.66</v>
      </c>
      <c r="D450" s="167">
        <v>-422643</v>
      </c>
      <c r="E450" s="168">
        <v>0</v>
      </c>
      <c r="F450" s="168">
        <v>0</v>
      </c>
      <c r="G450" s="168">
        <v>0</v>
      </c>
      <c r="H450" s="168">
        <v>0</v>
      </c>
      <c r="I450" s="167">
        <v>422643</v>
      </c>
      <c r="J450" s="168">
        <f t="shared" si="74"/>
        <v>4509576.66</v>
      </c>
    </row>
    <row r="451" spans="2:10" ht="12.75">
      <c r="B451" s="166" t="s">
        <v>51</v>
      </c>
      <c r="C451" s="167">
        <v>600606.99</v>
      </c>
      <c r="D451" s="167">
        <v>0</v>
      </c>
      <c r="E451" s="168">
        <v>0</v>
      </c>
      <c r="F451" s="168"/>
      <c r="G451" s="168">
        <v>-44345.53</v>
      </c>
      <c r="H451" s="168">
        <v>0</v>
      </c>
      <c r="I451" s="168">
        <v>0</v>
      </c>
      <c r="J451" s="168">
        <f t="shared" si="74"/>
        <v>556261.46</v>
      </c>
    </row>
    <row r="452" spans="2:10" ht="12.75">
      <c r="B452" s="166" t="s">
        <v>52</v>
      </c>
      <c r="C452" s="167">
        <v>0</v>
      </c>
      <c r="D452" s="167"/>
      <c r="E452" s="168"/>
      <c r="F452" s="168"/>
      <c r="G452" s="168">
        <v>0</v>
      </c>
      <c r="H452" s="168"/>
      <c r="I452" s="168"/>
      <c r="J452" s="168">
        <f t="shared" si="74"/>
        <v>0</v>
      </c>
    </row>
    <row r="453" spans="2:10" ht="13.5" thickBot="1">
      <c r="B453" s="32" t="s">
        <v>9</v>
      </c>
      <c r="C453" s="169">
        <f>SUM(C447:C452)</f>
        <v>51781800.970000006</v>
      </c>
      <c r="D453" s="169">
        <f aca="true" t="shared" si="75" ref="D453:J453">SUM(D447:D452)</f>
        <v>-422643</v>
      </c>
      <c r="E453" s="169">
        <f t="shared" si="75"/>
        <v>57907000</v>
      </c>
      <c r="F453" s="169">
        <f t="shared" si="75"/>
        <v>0</v>
      </c>
      <c r="G453" s="169">
        <f t="shared" si="75"/>
        <v>-10633834.629999999</v>
      </c>
      <c r="H453" s="169">
        <f t="shared" si="75"/>
        <v>0</v>
      </c>
      <c r="I453" s="169">
        <f t="shared" si="75"/>
        <v>1052676.45</v>
      </c>
      <c r="J453" s="169">
        <f t="shared" si="75"/>
        <v>99684999.78999999</v>
      </c>
    </row>
    <row r="454" ht="13.5" thickTop="1"/>
    <row r="457" spans="2:10" ht="12.75">
      <c r="B457" s="184"/>
      <c r="C457" s="160">
        <v>43282</v>
      </c>
      <c r="D457" s="160">
        <f>C457</f>
        <v>43282</v>
      </c>
      <c r="E457" s="161" t="s">
        <v>542</v>
      </c>
      <c r="F457" s="162" t="s">
        <v>92</v>
      </c>
      <c r="G457" s="161" t="str">
        <f>E457</f>
        <v>Till 31-08-2018</v>
      </c>
      <c r="H457" s="163"/>
      <c r="I457" s="161" t="str">
        <f>E457</f>
        <v>Till 31-08-2018</v>
      </c>
      <c r="J457" s="161" t="s">
        <v>541</v>
      </c>
    </row>
    <row r="458" spans="2:10" ht="12.75">
      <c r="B458" s="39"/>
      <c r="C458" s="164"/>
      <c r="D458" s="164"/>
      <c r="E458" s="165"/>
      <c r="F458" s="165"/>
      <c r="G458" s="165"/>
      <c r="H458" s="237" t="s">
        <v>344</v>
      </c>
      <c r="I458" s="165"/>
      <c r="J458" s="165"/>
    </row>
    <row r="459" spans="2:10" ht="12.75">
      <c r="B459" s="166" t="s">
        <v>47</v>
      </c>
      <c r="C459" s="167">
        <v>0</v>
      </c>
      <c r="D459" s="167">
        <v>0</v>
      </c>
      <c r="E459" s="168">
        <v>60225000</v>
      </c>
      <c r="F459" s="168">
        <v>0</v>
      </c>
      <c r="G459" s="168">
        <f>-18816686.66-1986251.7</f>
        <v>-20802938.36</v>
      </c>
      <c r="H459" s="168">
        <v>0</v>
      </c>
      <c r="I459" s="168">
        <v>0</v>
      </c>
      <c r="J459" s="168">
        <f aca="true" t="shared" si="76" ref="J459:J464">C459+D459+E459+F459+M459+G459+I459</f>
        <v>39422061.64</v>
      </c>
    </row>
    <row r="460" spans="2:10" ht="12.75">
      <c r="B460" s="166" t="s">
        <v>48</v>
      </c>
      <c r="C460" s="167">
        <v>46639127.25</v>
      </c>
      <c r="D460" s="167">
        <v>0</v>
      </c>
      <c r="E460" s="168">
        <v>4117952.2</v>
      </c>
      <c r="F460" s="168">
        <v>0</v>
      </c>
      <c r="G460" s="168">
        <f>-2007048.33-3117991.32</f>
        <v>-5125039.65</v>
      </c>
      <c r="H460" s="168"/>
      <c r="I460" s="167">
        <v>14791.08</v>
      </c>
      <c r="J460" s="168">
        <f t="shared" si="76"/>
        <v>45646830.88</v>
      </c>
    </row>
    <row r="461" spans="2:10" ht="12.75">
      <c r="B461" s="166" t="s">
        <v>49</v>
      </c>
      <c r="C461" s="167">
        <v>0</v>
      </c>
      <c r="D461" s="167"/>
      <c r="E461" s="168">
        <v>0</v>
      </c>
      <c r="F461" s="168"/>
      <c r="G461" s="168">
        <v>0</v>
      </c>
      <c r="H461" s="168">
        <v>0</v>
      </c>
      <c r="I461" s="167">
        <v>0</v>
      </c>
      <c r="J461" s="168">
        <f t="shared" si="76"/>
        <v>0</v>
      </c>
    </row>
    <row r="462" spans="2:10" ht="12.75">
      <c r="B462" s="166" t="s">
        <v>50</v>
      </c>
      <c r="C462" s="167">
        <f>1518294.13+2991282.53</f>
        <v>4509576.66</v>
      </c>
      <c r="D462" s="167">
        <v>-422643</v>
      </c>
      <c r="E462" s="168">
        <v>0</v>
      </c>
      <c r="F462" s="168">
        <v>0</v>
      </c>
      <c r="G462" s="168">
        <v>0</v>
      </c>
      <c r="H462" s="168">
        <v>0</v>
      </c>
      <c r="I462" s="167">
        <v>422643</v>
      </c>
      <c r="J462" s="168">
        <f t="shared" si="76"/>
        <v>4509576.66</v>
      </c>
    </row>
    <row r="463" spans="2:10" ht="12.75">
      <c r="B463" s="166" t="s">
        <v>51</v>
      </c>
      <c r="C463" s="167">
        <v>600606.99</v>
      </c>
      <c r="D463" s="167">
        <v>0</v>
      </c>
      <c r="E463" s="168">
        <v>0</v>
      </c>
      <c r="F463" s="168"/>
      <c r="G463" s="168">
        <v>-92150.53</v>
      </c>
      <c r="H463" s="168">
        <v>0</v>
      </c>
      <c r="I463" s="168">
        <v>0</v>
      </c>
      <c r="J463" s="168">
        <f t="shared" si="76"/>
        <v>508456.45999999996</v>
      </c>
    </row>
    <row r="464" spans="2:10" ht="12.75">
      <c r="B464" s="166" t="s">
        <v>52</v>
      </c>
      <c r="C464" s="167">
        <v>0</v>
      </c>
      <c r="D464" s="167"/>
      <c r="E464" s="168"/>
      <c r="F464" s="168"/>
      <c r="G464" s="168">
        <v>0</v>
      </c>
      <c r="H464" s="168"/>
      <c r="I464" s="168"/>
      <c r="J464" s="168">
        <f t="shared" si="76"/>
        <v>0</v>
      </c>
    </row>
    <row r="465" spans="2:10" ht="13.5" thickBot="1">
      <c r="B465" s="32" t="s">
        <v>9</v>
      </c>
      <c r="C465" s="169">
        <f>SUM(C459:C464)</f>
        <v>51749310.9</v>
      </c>
      <c r="D465" s="169">
        <f aca="true" t="shared" si="77" ref="D465:J465">SUM(D459:D464)</f>
        <v>-422643</v>
      </c>
      <c r="E465" s="169">
        <f t="shared" si="77"/>
        <v>64342952.2</v>
      </c>
      <c r="F465" s="169">
        <f t="shared" si="77"/>
        <v>0</v>
      </c>
      <c r="G465" s="169">
        <f t="shared" si="77"/>
        <v>-26020128.54</v>
      </c>
      <c r="H465" s="169">
        <f t="shared" si="77"/>
        <v>0</v>
      </c>
      <c r="I465" s="169">
        <f t="shared" si="77"/>
        <v>437434.08</v>
      </c>
      <c r="J465" s="169">
        <f t="shared" si="77"/>
        <v>90086925.64</v>
      </c>
    </row>
    <row r="466" ht="13.5" thickTop="1"/>
    <row r="470" spans="2:10" ht="12.75">
      <c r="B470" s="184"/>
      <c r="C470" s="160">
        <v>43282</v>
      </c>
      <c r="D470" s="160">
        <f>C470</f>
        <v>43282</v>
      </c>
      <c r="E470" s="161" t="s">
        <v>548</v>
      </c>
      <c r="F470" s="162" t="s">
        <v>92</v>
      </c>
      <c r="G470" s="161" t="str">
        <f>E470</f>
        <v>Till 30-09-2018</v>
      </c>
      <c r="H470" s="163"/>
      <c r="I470" s="161" t="str">
        <f>E470</f>
        <v>Till 30-09-2018</v>
      </c>
      <c r="J470" s="161" t="s">
        <v>547</v>
      </c>
    </row>
    <row r="471" spans="2:10" ht="12.75">
      <c r="B471" s="39"/>
      <c r="C471" s="164"/>
      <c r="D471" s="164"/>
      <c r="E471" s="165"/>
      <c r="F471" s="165"/>
      <c r="G471" s="165"/>
      <c r="H471" s="237" t="s">
        <v>344</v>
      </c>
      <c r="I471" s="165"/>
      <c r="J471" s="165"/>
    </row>
    <row r="472" spans="2:10" ht="12.75">
      <c r="B472" s="166" t="s">
        <v>47</v>
      </c>
      <c r="C472" s="167">
        <v>0</v>
      </c>
      <c r="D472" s="167">
        <v>0</v>
      </c>
      <c r="E472" s="168">
        <v>60225000</v>
      </c>
      <c r="F472" s="168">
        <v>0</v>
      </c>
      <c r="G472" s="168">
        <f>-32805556-9801400</f>
        <v>-42606956</v>
      </c>
      <c r="H472" s="168">
        <v>0</v>
      </c>
      <c r="I472" s="168">
        <v>603277.5</v>
      </c>
      <c r="J472" s="168">
        <f aca="true" t="shared" si="78" ref="J472:J477">C472+D472+E472+F472+M472+G472+I472</f>
        <v>18221321.5</v>
      </c>
    </row>
    <row r="473" spans="2:10" ht="12.75">
      <c r="B473" s="166" t="s">
        <v>48</v>
      </c>
      <c r="C473" s="167">
        <v>46639127.25</v>
      </c>
      <c r="D473" s="167">
        <v>0</v>
      </c>
      <c r="E473" s="168">
        <v>4117952.2</v>
      </c>
      <c r="F473" s="168">
        <v>0</v>
      </c>
      <c r="G473" s="168">
        <v>-8046603.5</v>
      </c>
      <c r="H473" s="168"/>
      <c r="I473" s="167">
        <v>283242.2</v>
      </c>
      <c r="J473" s="168">
        <f t="shared" si="78"/>
        <v>42993718.150000006</v>
      </c>
    </row>
    <row r="474" spans="2:10" ht="12.75">
      <c r="B474" s="166" t="s">
        <v>49</v>
      </c>
      <c r="C474" s="167">
        <v>0</v>
      </c>
      <c r="D474" s="167"/>
      <c r="E474" s="168">
        <v>0</v>
      </c>
      <c r="F474" s="168"/>
      <c r="G474" s="168">
        <v>0</v>
      </c>
      <c r="H474" s="168">
        <v>0</v>
      </c>
      <c r="I474" s="167">
        <v>0</v>
      </c>
      <c r="J474" s="168">
        <f t="shared" si="78"/>
        <v>0</v>
      </c>
    </row>
    <row r="475" spans="2:10" ht="12.75">
      <c r="B475" s="166" t="s">
        <v>50</v>
      </c>
      <c r="C475" s="167">
        <f>1518294.13+2991282.53</f>
        <v>4509576.66</v>
      </c>
      <c r="D475" s="167">
        <v>-422643</v>
      </c>
      <c r="E475" s="168">
        <v>0</v>
      </c>
      <c r="F475" s="168">
        <v>0</v>
      </c>
      <c r="G475" s="168">
        <v>0</v>
      </c>
      <c r="H475" s="168">
        <v>0</v>
      </c>
      <c r="I475" s="167">
        <v>422643</v>
      </c>
      <c r="J475" s="168">
        <f t="shared" si="78"/>
        <v>4509576.66</v>
      </c>
    </row>
    <row r="476" spans="2:10" ht="12.75">
      <c r="B476" s="166" t="s">
        <v>51</v>
      </c>
      <c r="C476" s="167">
        <v>600606.99</v>
      </c>
      <c r="D476" s="167">
        <v>0</v>
      </c>
      <c r="E476" s="168">
        <v>0</v>
      </c>
      <c r="F476" s="168"/>
      <c r="G476" s="168">
        <v>-144444.58</v>
      </c>
      <c r="H476" s="168">
        <v>0</v>
      </c>
      <c r="I476" s="168">
        <v>0</v>
      </c>
      <c r="J476" s="168">
        <f t="shared" si="78"/>
        <v>456162.41000000003</v>
      </c>
    </row>
    <row r="477" spans="2:10" ht="12.75">
      <c r="B477" s="166" t="s">
        <v>52</v>
      </c>
      <c r="C477" s="167">
        <v>0</v>
      </c>
      <c r="D477" s="167"/>
      <c r="E477" s="168"/>
      <c r="F477" s="168"/>
      <c r="G477" s="168">
        <v>0</v>
      </c>
      <c r="H477" s="168"/>
      <c r="I477" s="168"/>
      <c r="J477" s="168">
        <f t="shared" si="78"/>
        <v>0</v>
      </c>
    </row>
    <row r="478" spans="2:10" ht="13.5" thickBot="1">
      <c r="B478" s="32" t="s">
        <v>9</v>
      </c>
      <c r="C478" s="169">
        <f>SUM(C472:C477)</f>
        <v>51749310.9</v>
      </c>
      <c r="D478" s="169">
        <f aca="true" t="shared" si="79" ref="D478:J478">SUM(D472:D477)</f>
        <v>-422643</v>
      </c>
      <c r="E478" s="169">
        <f t="shared" si="79"/>
        <v>64342952.2</v>
      </c>
      <c r="F478" s="169">
        <f t="shared" si="79"/>
        <v>0</v>
      </c>
      <c r="G478" s="169">
        <f t="shared" si="79"/>
        <v>-50798004.08</v>
      </c>
      <c r="H478" s="169">
        <f t="shared" si="79"/>
        <v>0</v>
      </c>
      <c r="I478" s="169">
        <f t="shared" si="79"/>
        <v>1309162.7</v>
      </c>
      <c r="J478" s="169">
        <f t="shared" si="79"/>
        <v>66180778.72</v>
      </c>
    </row>
    <row r="479" ht="13.5" thickTop="1"/>
    <row r="482" spans="2:10" ht="12.75">
      <c r="B482" s="184"/>
      <c r="C482" s="160">
        <v>43282</v>
      </c>
      <c r="D482" s="160">
        <f>C482</f>
        <v>43282</v>
      </c>
      <c r="E482" s="161" t="s">
        <v>554</v>
      </c>
      <c r="F482" s="162" t="s">
        <v>92</v>
      </c>
      <c r="G482" s="161" t="str">
        <f>E482</f>
        <v>Till 31-10-2018</v>
      </c>
      <c r="H482" s="163"/>
      <c r="I482" s="161" t="str">
        <f>E482</f>
        <v>Till 31-10-2018</v>
      </c>
      <c r="J482" s="161" t="s">
        <v>552</v>
      </c>
    </row>
    <row r="483" spans="2:10" ht="12.75">
      <c r="B483" s="39"/>
      <c r="C483" s="164"/>
      <c r="D483" s="164"/>
      <c r="E483" s="165"/>
      <c r="F483" s="165"/>
      <c r="G483" s="165"/>
      <c r="H483" s="237" t="s">
        <v>344</v>
      </c>
      <c r="I483" s="165"/>
      <c r="J483" s="165"/>
    </row>
    <row r="484" spans="2:10" ht="12.75">
      <c r="B484" s="166" t="s">
        <v>47</v>
      </c>
      <c r="C484" s="167">
        <v>0</v>
      </c>
      <c r="D484" s="167">
        <v>0</v>
      </c>
      <c r="E484" s="168">
        <v>62725000</v>
      </c>
      <c r="F484" s="168">
        <v>0</v>
      </c>
      <c r="G484" s="168">
        <f>-38232438-7744153.13</f>
        <v>-45976591.13</v>
      </c>
      <c r="H484" s="168">
        <v>0</v>
      </c>
      <c r="I484" s="168">
        <v>1055504.7</v>
      </c>
      <c r="J484" s="168">
        <f aca="true" t="shared" si="80" ref="J484:J489">C484+D484+E484+F484+M484+G484+I484</f>
        <v>17803913.569999997</v>
      </c>
    </row>
    <row r="485" spans="2:10" ht="12.75">
      <c r="B485" s="166" t="s">
        <v>48</v>
      </c>
      <c r="C485" s="167">
        <v>46639127.25</v>
      </c>
      <c r="D485" s="167">
        <v>0</v>
      </c>
      <c r="E485" s="168">
        <v>4545135.5</v>
      </c>
      <c r="F485" s="168">
        <v>0</v>
      </c>
      <c r="G485" s="168">
        <f>-4016705.05-9560985.58</f>
        <v>-13577690.629999999</v>
      </c>
      <c r="H485" s="168"/>
      <c r="I485" s="167">
        <v>134815.74</v>
      </c>
      <c r="J485" s="168">
        <f t="shared" si="80"/>
        <v>37741387.86000001</v>
      </c>
    </row>
    <row r="486" spans="2:10" ht="12.75">
      <c r="B486" s="166" t="s">
        <v>49</v>
      </c>
      <c r="C486" s="167">
        <v>0</v>
      </c>
      <c r="D486" s="167"/>
      <c r="E486" s="168">
        <v>0</v>
      </c>
      <c r="F486" s="168"/>
      <c r="G486" s="168">
        <v>0</v>
      </c>
      <c r="H486" s="168">
        <v>0</v>
      </c>
      <c r="I486" s="167">
        <v>0</v>
      </c>
      <c r="J486" s="168">
        <f t="shared" si="80"/>
        <v>0</v>
      </c>
    </row>
    <row r="487" spans="2:10" ht="12.75">
      <c r="B487" s="166" t="s">
        <v>50</v>
      </c>
      <c r="C487" s="167">
        <f>1518294.13+2991282.53</f>
        <v>4509576.66</v>
      </c>
      <c r="D487" s="167">
        <v>-422643</v>
      </c>
      <c r="E487" s="168">
        <v>0</v>
      </c>
      <c r="F487" s="168">
        <v>0</v>
      </c>
      <c r="G487" s="168">
        <v>0</v>
      </c>
      <c r="H487" s="168">
        <v>0</v>
      </c>
      <c r="I487" s="167">
        <v>422643</v>
      </c>
      <c r="J487" s="168">
        <f t="shared" si="80"/>
        <v>4509576.66</v>
      </c>
    </row>
    <row r="488" spans="2:10" ht="12.75">
      <c r="B488" s="166" t="s">
        <v>51</v>
      </c>
      <c r="C488" s="167">
        <v>600606.99</v>
      </c>
      <c r="D488" s="167">
        <v>0</v>
      </c>
      <c r="E488" s="168">
        <v>754082.33</v>
      </c>
      <c r="F488" s="168"/>
      <c r="G488" s="168">
        <v>-192249.58</v>
      </c>
      <c r="H488" s="168">
        <v>0</v>
      </c>
      <c r="I488" s="168">
        <v>0</v>
      </c>
      <c r="J488" s="168">
        <f t="shared" si="80"/>
        <v>1162439.7399999998</v>
      </c>
    </row>
    <row r="489" spans="2:10" ht="12.75">
      <c r="B489" s="166" t="s">
        <v>52</v>
      </c>
      <c r="C489" s="167">
        <v>0</v>
      </c>
      <c r="D489" s="167"/>
      <c r="E489" s="168"/>
      <c r="F489" s="168"/>
      <c r="G489" s="168">
        <v>0</v>
      </c>
      <c r="H489" s="168"/>
      <c r="I489" s="168"/>
      <c r="J489" s="168">
        <f t="shared" si="80"/>
        <v>0</v>
      </c>
    </row>
    <row r="490" spans="2:10" ht="13.5" thickBot="1">
      <c r="B490" s="32" t="s">
        <v>9</v>
      </c>
      <c r="C490" s="169">
        <f>SUM(C484:C489)</f>
        <v>51749310.9</v>
      </c>
      <c r="D490" s="169">
        <f aca="true" t="shared" si="81" ref="D490:J490">SUM(D484:D489)</f>
        <v>-422643</v>
      </c>
      <c r="E490" s="169">
        <f t="shared" si="81"/>
        <v>68024217.83</v>
      </c>
      <c r="F490" s="169">
        <f t="shared" si="81"/>
        <v>0</v>
      </c>
      <c r="G490" s="169">
        <f t="shared" si="81"/>
        <v>-59746531.34</v>
      </c>
      <c r="H490" s="169">
        <f t="shared" si="81"/>
        <v>0</v>
      </c>
      <c r="I490" s="169">
        <f t="shared" si="81"/>
        <v>1612963.44</v>
      </c>
      <c r="J490" s="169">
        <f t="shared" si="81"/>
        <v>61217317.830000006</v>
      </c>
    </row>
    <row r="491" ht="13.5" thickTop="1"/>
    <row r="495" spans="2:10" ht="12.75">
      <c r="B495" s="184"/>
      <c r="C495" s="160">
        <v>43282</v>
      </c>
      <c r="D495" s="160">
        <f>C495</f>
        <v>43282</v>
      </c>
      <c r="E495" s="161" t="s">
        <v>558</v>
      </c>
      <c r="F495" s="162" t="s">
        <v>92</v>
      </c>
      <c r="G495" s="161" t="str">
        <f>E495</f>
        <v>Till 30-11-2018</v>
      </c>
      <c r="H495" s="163"/>
      <c r="I495" s="161" t="str">
        <f>E495</f>
        <v>Till 30-11-2018</v>
      </c>
      <c r="J495" s="161" t="s">
        <v>557</v>
      </c>
    </row>
    <row r="496" spans="2:10" ht="12.75">
      <c r="B496" s="39"/>
      <c r="C496" s="164"/>
      <c r="D496" s="164"/>
      <c r="E496" s="165"/>
      <c r="F496" s="165"/>
      <c r="G496" s="165"/>
      <c r="H496" s="237" t="s">
        <v>344</v>
      </c>
      <c r="I496" s="165"/>
      <c r="J496" s="165"/>
    </row>
    <row r="497" spans="2:10" ht="12.75">
      <c r="B497" s="166" t="s">
        <v>47</v>
      </c>
      <c r="C497" s="167">
        <v>0</v>
      </c>
      <c r="D497" s="167">
        <v>0</v>
      </c>
      <c r="E497" s="168">
        <v>64104000</v>
      </c>
      <c r="F497" s="168">
        <v>0</v>
      </c>
      <c r="G497" s="168">
        <f>-48235576.31-13290549.85</f>
        <v>-61526126.160000004</v>
      </c>
      <c r="H497" s="168">
        <v>0</v>
      </c>
      <c r="I497" s="168">
        <v>1846054.55</v>
      </c>
      <c r="J497" s="168">
        <f aca="true" t="shared" si="82" ref="J497:J502">C497+D497+E497+F497+M497+G497+I497</f>
        <v>4423928.389999996</v>
      </c>
    </row>
    <row r="498" spans="2:10" ht="12.75">
      <c r="B498" s="166" t="s">
        <v>48</v>
      </c>
      <c r="C498" s="167">
        <v>46639127.25</v>
      </c>
      <c r="D498" s="167">
        <v>0</v>
      </c>
      <c r="E498" s="168">
        <v>10750802.5</v>
      </c>
      <c r="F498" s="168">
        <v>0</v>
      </c>
      <c r="G498" s="168">
        <f>-4768794.05-16693860.14</f>
        <v>-21462654.19</v>
      </c>
      <c r="H498" s="168"/>
      <c r="I498" s="167">
        <v>159598.38</v>
      </c>
      <c r="J498" s="168">
        <f t="shared" si="82"/>
        <v>36086873.940000005</v>
      </c>
    </row>
    <row r="499" spans="2:10" ht="12.75">
      <c r="B499" s="166" t="s">
        <v>49</v>
      </c>
      <c r="C499" s="167">
        <v>0</v>
      </c>
      <c r="D499" s="167"/>
      <c r="E499" s="168">
        <v>0</v>
      </c>
      <c r="F499" s="168"/>
      <c r="G499" s="168">
        <v>0</v>
      </c>
      <c r="H499" s="168">
        <v>0</v>
      </c>
      <c r="I499" s="167">
        <v>0</v>
      </c>
      <c r="J499" s="168">
        <f t="shared" si="82"/>
        <v>0</v>
      </c>
    </row>
    <row r="500" spans="2:10" ht="12.75">
      <c r="B500" s="166" t="s">
        <v>50</v>
      </c>
      <c r="C500" s="167">
        <f>1518294.13+2991282.53</f>
        <v>4509576.66</v>
      </c>
      <c r="D500" s="167">
        <v>-422643</v>
      </c>
      <c r="E500" s="168">
        <v>0</v>
      </c>
      <c r="F500" s="168">
        <v>0</v>
      </c>
      <c r="G500" s="168">
        <v>0</v>
      </c>
      <c r="H500" s="168">
        <v>0</v>
      </c>
      <c r="I500" s="167">
        <v>422643</v>
      </c>
      <c r="J500" s="168">
        <f t="shared" si="82"/>
        <v>4509576.66</v>
      </c>
    </row>
    <row r="501" spans="2:10" ht="12.75">
      <c r="B501" s="166" t="s">
        <v>51</v>
      </c>
      <c r="C501" s="167">
        <v>600606.99</v>
      </c>
      <c r="D501" s="167">
        <v>0</v>
      </c>
      <c r="E501" s="168">
        <v>754082.33</v>
      </c>
      <c r="F501" s="168"/>
      <c r="G501" s="168">
        <v>-443325.35</v>
      </c>
      <c r="H501" s="168">
        <v>0</v>
      </c>
      <c r="I501" s="168">
        <v>0</v>
      </c>
      <c r="J501" s="168">
        <f t="shared" si="82"/>
        <v>911363.9699999999</v>
      </c>
    </row>
    <row r="502" spans="2:10" ht="12.75">
      <c r="B502" s="166" t="s">
        <v>52</v>
      </c>
      <c r="C502" s="167">
        <v>0</v>
      </c>
      <c r="D502" s="167"/>
      <c r="E502" s="168"/>
      <c r="F502" s="168"/>
      <c r="G502" s="168">
        <v>0</v>
      </c>
      <c r="H502" s="168"/>
      <c r="I502" s="168"/>
      <c r="J502" s="168">
        <f t="shared" si="82"/>
        <v>0</v>
      </c>
    </row>
    <row r="503" spans="2:10" ht="13.5" thickBot="1">
      <c r="B503" s="32" t="s">
        <v>9</v>
      </c>
      <c r="C503" s="169">
        <f>SUM(C497:C502)</f>
        <v>51749310.9</v>
      </c>
      <c r="D503" s="169">
        <f aca="true" t="shared" si="83" ref="D503:J503">SUM(D497:D502)</f>
        <v>-422643</v>
      </c>
      <c r="E503" s="169">
        <f t="shared" si="83"/>
        <v>75608884.83</v>
      </c>
      <c r="F503" s="169">
        <f t="shared" si="83"/>
        <v>0</v>
      </c>
      <c r="G503" s="169">
        <f t="shared" si="83"/>
        <v>-83432105.7</v>
      </c>
      <c r="H503" s="169">
        <f t="shared" si="83"/>
        <v>0</v>
      </c>
      <c r="I503" s="169">
        <f t="shared" si="83"/>
        <v>2428295.93</v>
      </c>
      <c r="J503" s="169">
        <f t="shared" si="83"/>
        <v>45931742.95999999</v>
      </c>
    </row>
    <row r="504" ht="13.5" thickTop="1"/>
    <row r="507" spans="2:10" ht="12.75">
      <c r="B507" s="184"/>
      <c r="C507" s="160">
        <v>43282</v>
      </c>
      <c r="D507" s="160">
        <f>C507</f>
        <v>43282</v>
      </c>
      <c r="E507" s="161" t="s">
        <v>558</v>
      </c>
      <c r="F507" s="162" t="s">
        <v>92</v>
      </c>
      <c r="G507" s="161" t="str">
        <f>E507</f>
        <v>Till 30-11-2018</v>
      </c>
      <c r="H507" s="163"/>
      <c r="I507" s="161" t="str">
        <f>E507</f>
        <v>Till 30-11-2018</v>
      </c>
      <c r="J507" s="161" t="s">
        <v>557</v>
      </c>
    </row>
    <row r="508" spans="2:10" ht="12.75">
      <c r="B508" s="39"/>
      <c r="C508" s="164"/>
      <c r="D508" s="164"/>
      <c r="E508" s="165"/>
      <c r="F508" s="165"/>
      <c r="G508" s="165"/>
      <c r="H508" s="237" t="s">
        <v>344</v>
      </c>
      <c r="I508" s="165"/>
      <c r="J508" s="165"/>
    </row>
    <row r="509" spans="2:10" ht="12.75">
      <c r="B509" s="166" t="s">
        <v>47</v>
      </c>
      <c r="C509" s="167">
        <v>0</v>
      </c>
      <c r="D509" s="167">
        <v>0</v>
      </c>
      <c r="E509" s="168">
        <v>100430000</v>
      </c>
      <c r="F509" s="168">
        <v>0</v>
      </c>
      <c r="G509" s="168">
        <f>-57787571.33-13290549.85-6000000</f>
        <v>-77078121.17999999</v>
      </c>
      <c r="H509" s="168">
        <v>0</v>
      </c>
      <c r="I509" s="168">
        <v>1314322.27</v>
      </c>
      <c r="J509" s="168">
        <f aca="true" t="shared" si="84" ref="J509:J514">C509+D509+E509+F509+M509+G509+I509</f>
        <v>24666201.090000007</v>
      </c>
    </row>
    <row r="510" spans="2:10" ht="12.75">
      <c r="B510" s="166" t="s">
        <v>48</v>
      </c>
      <c r="C510" s="167">
        <v>46639127.25</v>
      </c>
      <c r="D510" s="167">
        <v>0</v>
      </c>
      <c r="E510" s="168">
        <v>10850802.5</v>
      </c>
      <c r="F510" s="168">
        <v>0</v>
      </c>
      <c r="G510" s="168">
        <f>-5537604.46-20007924.14</f>
        <v>-25545528.6</v>
      </c>
      <c r="H510" s="168"/>
      <c r="I510" s="167">
        <v>95151.94</v>
      </c>
      <c r="J510" s="168">
        <f t="shared" si="84"/>
        <v>32039553.09</v>
      </c>
    </row>
    <row r="511" spans="2:10" ht="12.75">
      <c r="B511" s="166" t="s">
        <v>49</v>
      </c>
      <c r="C511" s="167">
        <v>0</v>
      </c>
      <c r="D511" s="167"/>
      <c r="E511" s="168">
        <v>0</v>
      </c>
      <c r="F511" s="168"/>
      <c r="G511" s="168">
        <v>0</v>
      </c>
      <c r="H511" s="168">
        <v>0</v>
      </c>
      <c r="I511" s="167">
        <v>0</v>
      </c>
      <c r="J511" s="168">
        <f t="shared" si="84"/>
        <v>0</v>
      </c>
    </row>
    <row r="512" spans="2:10" ht="12.75">
      <c r="B512" s="166" t="s">
        <v>50</v>
      </c>
      <c r="C512" s="167">
        <f>1518294.13+2991282.53</f>
        <v>4509576.66</v>
      </c>
      <c r="D512" s="167">
        <v>-422643</v>
      </c>
      <c r="E512" s="168">
        <v>0</v>
      </c>
      <c r="F512" s="168">
        <v>0</v>
      </c>
      <c r="G512" s="168">
        <v>0</v>
      </c>
      <c r="H512" s="168">
        <v>0</v>
      </c>
      <c r="I512" s="167">
        <v>422643</v>
      </c>
      <c r="J512" s="168">
        <f t="shared" si="84"/>
        <v>4509576.66</v>
      </c>
    </row>
    <row r="513" spans="2:10" ht="12.75">
      <c r="B513" s="166" t="s">
        <v>51</v>
      </c>
      <c r="C513" s="167">
        <v>600606.99</v>
      </c>
      <c r="D513" s="167">
        <v>0</v>
      </c>
      <c r="E513" s="168">
        <v>754082.33</v>
      </c>
      <c r="F513" s="168"/>
      <c r="G513" s="168">
        <v>-701747.72</v>
      </c>
      <c r="H513" s="168">
        <v>0</v>
      </c>
      <c r="I513" s="168">
        <v>0</v>
      </c>
      <c r="J513" s="168">
        <f t="shared" si="84"/>
        <v>652941.5999999999</v>
      </c>
    </row>
    <row r="514" spans="2:10" ht="12.75">
      <c r="B514" s="166" t="s">
        <v>52</v>
      </c>
      <c r="C514" s="167">
        <v>0</v>
      </c>
      <c r="D514" s="167"/>
      <c r="E514" s="168"/>
      <c r="F514" s="168"/>
      <c r="G514" s="168">
        <v>0</v>
      </c>
      <c r="H514" s="168"/>
      <c r="I514" s="168"/>
      <c r="J514" s="168">
        <f t="shared" si="84"/>
        <v>0</v>
      </c>
    </row>
    <row r="515" spans="2:10" ht="13.5" thickBot="1">
      <c r="B515" s="32" t="s">
        <v>9</v>
      </c>
      <c r="C515" s="169">
        <f>SUM(C509:C514)</f>
        <v>51749310.9</v>
      </c>
      <c r="D515" s="169">
        <f aca="true" t="shared" si="85" ref="D515:J515">SUM(D509:D514)</f>
        <v>-422643</v>
      </c>
      <c r="E515" s="169">
        <f t="shared" si="85"/>
        <v>112034884.83</v>
      </c>
      <c r="F515" s="169">
        <f t="shared" si="85"/>
        <v>0</v>
      </c>
      <c r="G515" s="169">
        <f t="shared" si="85"/>
        <v>-103325397.5</v>
      </c>
      <c r="H515" s="169">
        <f t="shared" si="85"/>
        <v>0</v>
      </c>
      <c r="I515" s="169">
        <f t="shared" si="85"/>
        <v>1832117.21</v>
      </c>
      <c r="J515" s="169">
        <f t="shared" si="85"/>
        <v>61868272.440000005</v>
      </c>
    </row>
    <row r="516" ht="13.5" thickTop="1"/>
    <row r="519" spans="2:10" ht="12.75">
      <c r="B519" s="184"/>
      <c r="C519" s="160">
        <v>43282</v>
      </c>
      <c r="D519" s="160">
        <f>C519</f>
        <v>43282</v>
      </c>
      <c r="E519" s="161" t="s">
        <v>562</v>
      </c>
      <c r="F519" s="162" t="s">
        <v>92</v>
      </c>
      <c r="G519" s="161" t="str">
        <f>E519</f>
        <v>Till 31-01-2019</v>
      </c>
      <c r="H519" s="163"/>
      <c r="I519" s="161" t="str">
        <f>E519</f>
        <v>Till 31-01-2019</v>
      </c>
      <c r="J519" s="161" t="s">
        <v>561</v>
      </c>
    </row>
    <row r="520" spans="2:10" ht="12.75">
      <c r="B520" s="39"/>
      <c r="C520" s="164"/>
      <c r="D520" s="164"/>
      <c r="E520" s="165"/>
      <c r="F520" s="165"/>
      <c r="G520" s="165"/>
      <c r="H520" s="237" t="s">
        <v>344</v>
      </c>
      <c r="I520" s="165"/>
      <c r="J520" s="165"/>
    </row>
    <row r="521" spans="2:10" ht="12.75">
      <c r="B521" s="166" t="s">
        <v>47</v>
      </c>
      <c r="C521" s="167">
        <v>0</v>
      </c>
      <c r="D521" s="167">
        <v>0</v>
      </c>
      <c r="E521" s="168">
        <v>109430000</v>
      </c>
      <c r="F521" s="168">
        <v>0</v>
      </c>
      <c r="G521" s="168">
        <f>-67023757.23-20517091.47</f>
        <v>-87540848.69999999</v>
      </c>
      <c r="H521" s="168">
        <v>0</v>
      </c>
      <c r="I521" s="168">
        <v>2162216.47</v>
      </c>
      <c r="J521" s="168">
        <f aca="true" t="shared" si="86" ref="J521:J526">C521+D521+E521+F521+M521+G521+I521</f>
        <v>24051367.77000001</v>
      </c>
    </row>
    <row r="522" spans="2:10" ht="12.75">
      <c r="B522" s="166" t="s">
        <v>48</v>
      </c>
      <c r="C522" s="167">
        <v>46639127.25</v>
      </c>
      <c r="D522" s="167">
        <v>0</v>
      </c>
      <c r="E522" s="168">
        <v>12390802.5</v>
      </c>
      <c r="F522" s="168">
        <v>0</v>
      </c>
      <c r="G522" s="168">
        <f>-6418315.08-22843980.21</f>
        <v>-29262295.29</v>
      </c>
      <c r="H522" s="168"/>
      <c r="I522" s="167">
        <v>101109.2</v>
      </c>
      <c r="J522" s="168">
        <f t="shared" si="86"/>
        <v>29868743.66</v>
      </c>
    </row>
    <row r="523" spans="2:10" ht="12.75">
      <c r="B523" s="166" t="s">
        <v>49</v>
      </c>
      <c r="C523" s="167">
        <v>0</v>
      </c>
      <c r="D523" s="167"/>
      <c r="E523" s="168">
        <v>0</v>
      </c>
      <c r="F523" s="168"/>
      <c r="G523" s="168">
        <v>0</v>
      </c>
      <c r="H523" s="168">
        <v>0</v>
      </c>
      <c r="I523" s="167">
        <v>0</v>
      </c>
      <c r="J523" s="168">
        <f t="shared" si="86"/>
        <v>0</v>
      </c>
    </row>
    <row r="524" spans="2:10" ht="12.75">
      <c r="B524" s="166" t="s">
        <v>50</v>
      </c>
      <c r="C524" s="167">
        <f>1518294.13+2991282.53</f>
        <v>4509576.66</v>
      </c>
      <c r="D524" s="167">
        <v>-422643</v>
      </c>
      <c r="E524" s="168">
        <v>0</v>
      </c>
      <c r="F524" s="168">
        <v>0</v>
      </c>
      <c r="G524" s="168">
        <v>0</v>
      </c>
      <c r="H524" s="168">
        <v>0</v>
      </c>
      <c r="I524" s="167">
        <v>422643</v>
      </c>
      <c r="J524" s="168">
        <f t="shared" si="86"/>
        <v>4509576.66</v>
      </c>
    </row>
    <row r="525" spans="2:10" ht="12.75">
      <c r="B525" s="166" t="s">
        <v>51</v>
      </c>
      <c r="C525" s="167">
        <v>600606.99</v>
      </c>
      <c r="D525" s="167">
        <v>0</v>
      </c>
      <c r="E525" s="168">
        <v>1085530.07</v>
      </c>
      <c r="F525" s="168"/>
      <c r="G525" s="168">
        <f>-43623.01-783288.72</f>
        <v>-826911.73</v>
      </c>
      <c r="H525" s="168">
        <v>0</v>
      </c>
      <c r="I525" s="168">
        <v>0</v>
      </c>
      <c r="J525" s="168">
        <f t="shared" si="86"/>
        <v>859225.3300000001</v>
      </c>
    </row>
    <row r="526" spans="2:10" ht="12.75">
      <c r="B526" s="166" t="s">
        <v>52</v>
      </c>
      <c r="C526" s="167">
        <v>0</v>
      </c>
      <c r="D526" s="167"/>
      <c r="E526" s="168"/>
      <c r="F526" s="168"/>
      <c r="G526" s="168">
        <v>0</v>
      </c>
      <c r="H526" s="168"/>
      <c r="I526" s="168"/>
      <c r="J526" s="168">
        <f t="shared" si="86"/>
        <v>0</v>
      </c>
    </row>
    <row r="527" spans="2:10" ht="13.5" thickBot="1">
      <c r="B527" s="32" t="s">
        <v>9</v>
      </c>
      <c r="C527" s="169">
        <f>SUM(C521:C526)</f>
        <v>51749310.9</v>
      </c>
      <c r="D527" s="169">
        <f aca="true" t="shared" si="87" ref="D527:J527">SUM(D521:D526)</f>
        <v>-422643</v>
      </c>
      <c r="E527" s="169">
        <f t="shared" si="87"/>
        <v>122906332.57</v>
      </c>
      <c r="F527" s="169">
        <f t="shared" si="87"/>
        <v>0</v>
      </c>
      <c r="G527" s="169">
        <f t="shared" si="87"/>
        <v>-117630055.71999998</v>
      </c>
      <c r="H527" s="169">
        <f t="shared" si="87"/>
        <v>0</v>
      </c>
      <c r="I527" s="169">
        <f t="shared" si="87"/>
        <v>2685968.6700000004</v>
      </c>
      <c r="J527" s="169">
        <f t="shared" si="87"/>
        <v>59288913.42</v>
      </c>
    </row>
    <row r="528" ht="13.5" thickTop="1"/>
    <row r="531" spans="2:10" ht="12.75">
      <c r="B531" s="184"/>
      <c r="C531" s="160">
        <v>43282</v>
      </c>
      <c r="D531" s="160">
        <f>C531</f>
        <v>43282</v>
      </c>
      <c r="E531" s="161" t="s">
        <v>562</v>
      </c>
      <c r="F531" s="162" t="s">
        <v>92</v>
      </c>
      <c r="G531" s="161" t="str">
        <f>E531</f>
        <v>Till 31-01-2019</v>
      </c>
      <c r="H531" s="163"/>
      <c r="I531" s="161" t="str">
        <f>E531</f>
        <v>Till 31-01-2019</v>
      </c>
      <c r="J531" s="161" t="s">
        <v>561</v>
      </c>
    </row>
    <row r="532" spans="2:10" ht="12.75">
      <c r="B532" s="39"/>
      <c r="C532" s="164"/>
      <c r="D532" s="164"/>
      <c r="E532" s="165"/>
      <c r="F532" s="165"/>
      <c r="G532" s="165"/>
      <c r="H532" s="237" t="s">
        <v>344</v>
      </c>
      <c r="I532" s="165"/>
      <c r="J532" s="165"/>
    </row>
    <row r="533" spans="2:10" ht="12.75">
      <c r="B533" s="166" t="s">
        <v>47</v>
      </c>
      <c r="C533" s="167">
        <v>0</v>
      </c>
      <c r="D533" s="167">
        <v>0</v>
      </c>
      <c r="E533" s="168">
        <v>110349000</v>
      </c>
      <c r="F533" s="168">
        <v>0</v>
      </c>
      <c r="G533" s="168">
        <f>-76331108.38-21312976.95</f>
        <v>-97644085.33</v>
      </c>
      <c r="H533" s="168">
        <v>0</v>
      </c>
      <c r="I533" s="168">
        <v>2312976.95</v>
      </c>
      <c r="J533" s="168">
        <f aca="true" t="shared" si="88" ref="J533:J538">C533+D533+E533+F533+M533+G533+I533</f>
        <v>15017891.620000001</v>
      </c>
    </row>
    <row r="534" spans="2:10" ht="12.75">
      <c r="B534" s="166" t="s">
        <v>48</v>
      </c>
      <c r="C534" s="167">
        <v>46639127.25</v>
      </c>
      <c r="D534" s="167">
        <v>0</v>
      </c>
      <c r="E534" s="168">
        <v>16396468.5</v>
      </c>
      <c r="F534" s="168">
        <v>0</v>
      </c>
      <c r="G534" s="168">
        <f>-8585809.74-25284765.36</f>
        <v>-33870575.1</v>
      </c>
      <c r="H534" s="168"/>
      <c r="I534" s="167">
        <v>0</v>
      </c>
      <c r="J534" s="168">
        <f t="shared" si="88"/>
        <v>29165020.65</v>
      </c>
    </row>
    <row r="535" spans="2:10" ht="12.75">
      <c r="B535" s="166" t="s">
        <v>49</v>
      </c>
      <c r="C535" s="167">
        <v>0</v>
      </c>
      <c r="D535" s="167"/>
      <c r="E535" s="168">
        <v>0</v>
      </c>
      <c r="F535" s="168"/>
      <c r="G535" s="168">
        <v>0</v>
      </c>
      <c r="H535" s="168">
        <v>0</v>
      </c>
      <c r="I535" s="167">
        <v>0</v>
      </c>
      <c r="J535" s="168">
        <f t="shared" si="88"/>
        <v>0</v>
      </c>
    </row>
    <row r="536" spans="2:10" ht="12.75">
      <c r="B536" s="166" t="s">
        <v>50</v>
      </c>
      <c r="C536" s="167">
        <f>1518294.13+2991282.53</f>
        <v>4509576.66</v>
      </c>
      <c r="D536" s="167">
        <v>-422643</v>
      </c>
      <c r="E536" s="168">
        <v>0</v>
      </c>
      <c r="F536" s="168">
        <v>0</v>
      </c>
      <c r="G536" s="168">
        <v>0</v>
      </c>
      <c r="H536" s="168">
        <v>0</v>
      </c>
      <c r="I536" s="167">
        <v>422643</v>
      </c>
      <c r="J536" s="168">
        <f t="shared" si="88"/>
        <v>4509576.66</v>
      </c>
    </row>
    <row r="537" spans="2:10" ht="12.75">
      <c r="B537" s="166" t="s">
        <v>51</v>
      </c>
      <c r="C537" s="167">
        <v>600606.99</v>
      </c>
      <c r="D537" s="167">
        <v>0</v>
      </c>
      <c r="E537" s="168">
        <v>1187205.33</v>
      </c>
      <c r="F537" s="168">
        <v>-43623.01</v>
      </c>
      <c r="G537" s="168">
        <v>-852979.39</v>
      </c>
      <c r="H537" s="168">
        <v>0</v>
      </c>
      <c r="I537" s="168">
        <v>0</v>
      </c>
      <c r="J537" s="168">
        <f t="shared" si="88"/>
        <v>891209.92</v>
      </c>
    </row>
    <row r="538" spans="2:10" ht="12.75">
      <c r="B538" s="166" t="s">
        <v>52</v>
      </c>
      <c r="C538" s="167">
        <v>0</v>
      </c>
      <c r="D538" s="167"/>
      <c r="E538" s="168"/>
      <c r="F538" s="168"/>
      <c r="G538" s="168">
        <v>0</v>
      </c>
      <c r="H538" s="168"/>
      <c r="I538" s="168"/>
      <c r="J538" s="168">
        <f t="shared" si="88"/>
        <v>0</v>
      </c>
    </row>
    <row r="539" spans="2:10" ht="13.5" thickBot="1">
      <c r="B539" s="32" t="s">
        <v>9</v>
      </c>
      <c r="C539" s="169">
        <f>SUM(C533:C538)</f>
        <v>51749310.9</v>
      </c>
      <c r="D539" s="169">
        <f aca="true" t="shared" si="89" ref="D539:J539">SUM(D533:D538)</f>
        <v>-422643</v>
      </c>
      <c r="E539" s="169">
        <f t="shared" si="89"/>
        <v>127932673.83</v>
      </c>
      <c r="F539" s="169">
        <f t="shared" si="89"/>
        <v>-43623.01</v>
      </c>
      <c r="G539" s="169">
        <f t="shared" si="89"/>
        <v>-132367639.82000001</v>
      </c>
      <c r="H539" s="169">
        <f t="shared" si="89"/>
        <v>0</v>
      </c>
      <c r="I539" s="169">
        <f t="shared" si="89"/>
        <v>2735619.95</v>
      </c>
      <c r="J539" s="169">
        <f t="shared" si="89"/>
        <v>49583698.849999994</v>
      </c>
    </row>
    <row r="540" ht="13.5" thickTop="1"/>
    <row r="543" spans="2:10" ht="12.75">
      <c r="B543" s="184"/>
      <c r="C543" s="160">
        <v>43282</v>
      </c>
      <c r="D543" s="160">
        <f>C543</f>
        <v>43282</v>
      </c>
      <c r="E543" s="161" t="s">
        <v>572</v>
      </c>
      <c r="F543" s="162" t="s">
        <v>92</v>
      </c>
      <c r="G543" s="161" t="str">
        <f>E543</f>
        <v>Till 31-03-2019</v>
      </c>
      <c r="H543" s="163"/>
      <c r="I543" s="161" t="str">
        <f>E543</f>
        <v>Till 31-03-2019</v>
      </c>
      <c r="J543" s="161" t="s">
        <v>571</v>
      </c>
    </row>
    <row r="544" spans="2:10" ht="12.75">
      <c r="B544" s="39"/>
      <c r="C544" s="164"/>
      <c r="D544" s="164"/>
      <c r="E544" s="165"/>
      <c r="F544" s="165"/>
      <c r="G544" s="165"/>
      <c r="H544" s="237" t="s">
        <v>344</v>
      </c>
      <c r="I544" s="165"/>
      <c r="J544" s="165"/>
    </row>
    <row r="545" spans="2:10" ht="12.75">
      <c r="B545" s="166" t="s">
        <v>47</v>
      </c>
      <c r="C545" s="167">
        <v>0</v>
      </c>
      <c r="D545" s="167">
        <v>0</v>
      </c>
      <c r="E545" s="168">
        <v>137593000</v>
      </c>
      <c r="F545" s="168">
        <v>0</v>
      </c>
      <c r="G545" s="168">
        <f>-85467268.37-22358477.37</f>
        <v>-107825745.74000001</v>
      </c>
      <c r="H545" s="168">
        <v>0</v>
      </c>
      <c r="I545" s="168">
        <v>3358477.37</v>
      </c>
      <c r="J545" s="168">
        <f aca="true" t="shared" si="90" ref="J545:J550">C545+D545+E545+F545+M545+G545+I545</f>
        <v>33125731.62999999</v>
      </c>
    </row>
    <row r="546" spans="2:10" ht="12.75">
      <c r="B546" s="166" t="s">
        <v>48</v>
      </c>
      <c r="C546" s="167">
        <v>42362120.93</v>
      </c>
      <c r="D546" s="167">
        <v>0</v>
      </c>
      <c r="E546" s="168">
        <f>17730468.5+70669386.96</f>
        <v>88399855.46</v>
      </c>
      <c r="F546" s="168">
        <v>0</v>
      </c>
      <c r="G546" s="168">
        <f>-9318619.46-97661092.65</f>
        <v>-106979712.11000001</v>
      </c>
      <c r="H546" s="168"/>
      <c r="I546" s="167">
        <v>8333.33</v>
      </c>
      <c r="J546" s="168">
        <f t="shared" si="90"/>
        <v>23790597.60999997</v>
      </c>
    </row>
    <row r="547" spans="2:10" ht="12.75">
      <c r="B547" s="166" t="s">
        <v>49</v>
      </c>
      <c r="C547" s="167">
        <v>0</v>
      </c>
      <c r="D547" s="167"/>
      <c r="E547" s="168">
        <v>0</v>
      </c>
      <c r="F547" s="168"/>
      <c r="G547" s="168">
        <v>0</v>
      </c>
      <c r="H547" s="168">
        <v>0</v>
      </c>
      <c r="I547" s="167">
        <v>0</v>
      </c>
      <c r="J547" s="168">
        <f t="shared" si="90"/>
        <v>0</v>
      </c>
    </row>
    <row r="548" spans="2:10" ht="12.75">
      <c r="B548" s="166" t="s">
        <v>50</v>
      </c>
      <c r="C548" s="167">
        <f>1518294.13+2991282.53</f>
        <v>4509576.66</v>
      </c>
      <c r="D548" s="167">
        <v>-422643</v>
      </c>
      <c r="E548" s="168">
        <v>0</v>
      </c>
      <c r="F548" s="168">
        <v>0</v>
      </c>
      <c r="G548" s="168">
        <v>0</v>
      </c>
      <c r="H548" s="168">
        <v>0</v>
      </c>
      <c r="I548" s="167">
        <v>422643</v>
      </c>
      <c r="J548" s="168">
        <f t="shared" si="90"/>
        <v>4509576.66</v>
      </c>
    </row>
    <row r="549" spans="2:10" ht="12.75">
      <c r="B549" s="166" t="s">
        <v>51</v>
      </c>
      <c r="C549" s="167">
        <v>600606.99</v>
      </c>
      <c r="D549" s="167">
        <v>0</v>
      </c>
      <c r="E549" s="168">
        <v>1187205.33</v>
      </c>
      <c r="F549" s="168">
        <v>-43623.01</v>
      </c>
      <c r="G549" s="168">
        <v>-987180.42</v>
      </c>
      <c r="H549" s="168">
        <v>0</v>
      </c>
      <c r="I549" s="168">
        <v>0</v>
      </c>
      <c r="J549" s="168">
        <f t="shared" si="90"/>
        <v>757008.89</v>
      </c>
    </row>
    <row r="550" spans="2:10" ht="12.75">
      <c r="B550" s="166" t="s">
        <v>52</v>
      </c>
      <c r="C550" s="167">
        <v>0</v>
      </c>
      <c r="D550" s="167"/>
      <c r="E550" s="168"/>
      <c r="F550" s="168"/>
      <c r="G550" s="168">
        <v>0</v>
      </c>
      <c r="H550" s="168"/>
      <c r="I550" s="168"/>
      <c r="J550" s="168">
        <f t="shared" si="90"/>
        <v>0</v>
      </c>
    </row>
    <row r="551" spans="2:10" ht="13.5" thickBot="1">
      <c r="B551" s="32" t="s">
        <v>9</v>
      </c>
      <c r="C551" s="169">
        <f>SUM(C545:C550)</f>
        <v>47472304.580000006</v>
      </c>
      <c r="D551" s="169">
        <f aca="true" t="shared" si="91" ref="D551:J551">SUM(D545:D550)</f>
        <v>-422643</v>
      </c>
      <c r="E551" s="169">
        <f t="shared" si="91"/>
        <v>227180060.79</v>
      </c>
      <c r="F551" s="169">
        <f t="shared" si="91"/>
        <v>-43623.01</v>
      </c>
      <c r="G551" s="169">
        <f t="shared" si="91"/>
        <v>-215792638.27</v>
      </c>
      <c r="H551" s="169">
        <f t="shared" si="91"/>
        <v>0</v>
      </c>
      <c r="I551" s="169">
        <f t="shared" si="91"/>
        <v>3789453.7</v>
      </c>
      <c r="J551" s="169">
        <f t="shared" si="91"/>
        <v>62182914.78999996</v>
      </c>
    </row>
    <row r="552" ht="13.5" thickTop="1"/>
    <row r="555" spans="2:10" ht="12.75">
      <c r="B555" s="184"/>
      <c r="C555" s="160">
        <v>43282</v>
      </c>
      <c r="D555" s="160">
        <f>C555</f>
        <v>43282</v>
      </c>
      <c r="E555" s="161" t="s">
        <v>575</v>
      </c>
      <c r="F555" s="162" t="s">
        <v>92</v>
      </c>
      <c r="G555" s="161" t="str">
        <f>E555</f>
        <v>Till 30-04-2019</v>
      </c>
      <c r="H555" s="163"/>
      <c r="I555" s="161" t="str">
        <f>E555</f>
        <v>Till 30-04-2019</v>
      </c>
      <c r="J555" s="161" t="s">
        <v>574</v>
      </c>
    </row>
    <row r="556" spans="2:10" ht="12.75">
      <c r="B556" s="39"/>
      <c r="C556" s="164"/>
      <c r="D556" s="164"/>
      <c r="E556" s="165"/>
      <c r="F556" s="165"/>
      <c r="G556" s="165"/>
      <c r="H556" s="237" t="s">
        <v>344</v>
      </c>
      <c r="I556" s="165"/>
      <c r="J556" s="165"/>
    </row>
    <row r="557" spans="2:10" ht="12.75">
      <c r="B557" s="166" t="s">
        <v>47</v>
      </c>
      <c r="C557" s="167">
        <v>0</v>
      </c>
      <c r="D557" s="167">
        <v>0</v>
      </c>
      <c r="E557" s="168">
        <v>152403000</v>
      </c>
      <c r="F557" s="168">
        <v>0</v>
      </c>
      <c r="G557" s="168">
        <f>-94679083.37-23405225.45</f>
        <v>-118084308.82000001</v>
      </c>
      <c r="H557" s="168">
        <v>0</v>
      </c>
      <c r="I557" s="168">
        <v>0</v>
      </c>
      <c r="J557" s="168">
        <f aca="true" t="shared" si="92" ref="J557:J562">C557+D557+E557+F557+M557+G557+I557</f>
        <v>34318691.17999999</v>
      </c>
    </row>
    <row r="558" spans="2:10" ht="12.75">
      <c r="B558" s="166" t="s">
        <v>48</v>
      </c>
      <c r="C558" s="167">
        <v>42362120.93</v>
      </c>
      <c r="D558" s="167">
        <v>0</v>
      </c>
      <c r="E558" s="168">
        <f>17730468.5+70669386.96</f>
        <v>88399855.46</v>
      </c>
      <c r="F558" s="168">
        <v>0</v>
      </c>
      <c r="G558" s="168">
        <f>-10037064.05-99484720.06</f>
        <v>-109521784.11</v>
      </c>
      <c r="H558" s="168"/>
      <c r="I558" s="167">
        <v>8333.33</v>
      </c>
      <c r="J558" s="168">
        <f t="shared" si="92"/>
        <v>21248525.609999985</v>
      </c>
    </row>
    <row r="559" spans="2:10" ht="12.75">
      <c r="B559" s="166" t="s">
        <v>49</v>
      </c>
      <c r="C559" s="167">
        <v>0</v>
      </c>
      <c r="D559" s="167"/>
      <c r="E559" s="168">
        <v>0</v>
      </c>
      <c r="F559" s="168"/>
      <c r="G559" s="168">
        <v>0</v>
      </c>
      <c r="H559" s="168">
        <v>0</v>
      </c>
      <c r="I559" s="167">
        <v>0</v>
      </c>
      <c r="J559" s="168">
        <f t="shared" si="92"/>
        <v>0</v>
      </c>
    </row>
    <row r="560" spans="2:10" ht="12.75">
      <c r="B560" s="166" t="s">
        <v>50</v>
      </c>
      <c r="C560" s="167">
        <f>1518294.13+2991282.53</f>
        <v>4509576.66</v>
      </c>
      <c r="D560" s="167">
        <v>-422643</v>
      </c>
      <c r="E560" s="168">
        <v>0</v>
      </c>
      <c r="F560" s="168">
        <v>0</v>
      </c>
      <c r="G560" s="168">
        <v>0</v>
      </c>
      <c r="H560" s="168">
        <v>0</v>
      </c>
      <c r="I560" s="167">
        <v>422643</v>
      </c>
      <c r="J560" s="168">
        <f t="shared" si="92"/>
        <v>4509576.66</v>
      </c>
    </row>
    <row r="561" spans="2:10" ht="12.75">
      <c r="B561" s="166" t="s">
        <v>51</v>
      </c>
      <c r="C561" s="167">
        <v>600606.99</v>
      </c>
      <c r="D561" s="167">
        <v>0</v>
      </c>
      <c r="E561" s="168">
        <v>1187205.33</v>
      </c>
      <c r="F561" s="168">
        <v>-43623.01</v>
      </c>
      <c r="G561" s="168">
        <v>-1035460.03</v>
      </c>
      <c r="H561" s="168">
        <v>0</v>
      </c>
      <c r="I561" s="168">
        <v>0</v>
      </c>
      <c r="J561" s="168">
        <f t="shared" si="92"/>
        <v>708729.28</v>
      </c>
    </row>
    <row r="562" spans="2:10" ht="12.75">
      <c r="B562" s="166" t="s">
        <v>52</v>
      </c>
      <c r="C562" s="167">
        <v>0</v>
      </c>
      <c r="D562" s="167"/>
      <c r="E562" s="168"/>
      <c r="F562" s="168"/>
      <c r="G562" s="168">
        <v>0</v>
      </c>
      <c r="H562" s="168"/>
      <c r="I562" s="168"/>
      <c r="J562" s="168">
        <f t="shared" si="92"/>
        <v>0</v>
      </c>
    </row>
    <row r="563" spans="2:10" ht="13.5" thickBot="1">
      <c r="B563" s="32" t="s">
        <v>9</v>
      </c>
      <c r="C563" s="169">
        <f>SUM(C557:C562)</f>
        <v>47472304.580000006</v>
      </c>
      <c r="D563" s="169">
        <f aca="true" t="shared" si="93" ref="D563:J563">SUM(D557:D562)</f>
        <v>-422643</v>
      </c>
      <c r="E563" s="169">
        <f t="shared" si="93"/>
        <v>241990060.79</v>
      </c>
      <c r="F563" s="169">
        <f t="shared" si="93"/>
        <v>-43623.01</v>
      </c>
      <c r="G563" s="169">
        <f t="shared" si="93"/>
        <v>-228641552.96</v>
      </c>
      <c r="H563" s="169">
        <f t="shared" si="93"/>
        <v>0</v>
      </c>
      <c r="I563" s="169">
        <f t="shared" si="93"/>
        <v>430976.33</v>
      </c>
      <c r="J563" s="169">
        <f t="shared" si="93"/>
        <v>60785522.729999974</v>
      </c>
    </row>
    <row r="564" ht="13.5" thickTop="1"/>
    <row r="567" spans="2:10" ht="12.75">
      <c r="B567" s="184"/>
      <c r="C567" s="160">
        <v>43282</v>
      </c>
      <c r="D567" s="160">
        <f>C567</f>
        <v>43282</v>
      </c>
      <c r="E567" s="161" t="s">
        <v>580</v>
      </c>
      <c r="F567" s="162" t="s">
        <v>92</v>
      </c>
      <c r="G567" s="161" t="str">
        <f>E567</f>
        <v>Till 31-05-2019</v>
      </c>
      <c r="H567" s="163"/>
      <c r="I567" s="161" t="str">
        <f>E567</f>
        <v>Till 31-05-2019</v>
      </c>
      <c r="J567" s="161" t="s">
        <v>579</v>
      </c>
    </row>
    <row r="568" spans="2:10" ht="12.75">
      <c r="B568" s="39"/>
      <c r="C568" s="164"/>
      <c r="D568" s="164"/>
      <c r="E568" s="165"/>
      <c r="F568" s="165"/>
      <c r="G568" s="165"/>
      <c r="H568" s="237" t="s">
        <v>344</v>
      </c>
      <c r="I568" s="165"/>
      <c r="J568" s="165"/>
    </row>
    <row r="569" spans="2:10" ht="12.75">
      <c r="B569" s="166" t="s">
        <v>47</v>
      </c>
      <c r="C569" s="167">
        <v>0</v>
      </c>
      <c r="D569" s="167">
        <v>0</v>
      </c>
      <c r="E569" s="168">
        <v>152403000</v>
      </c>
      <c r="F569" s="168">
        <v>0</v>
      </c>
      <c r="G569" s="168">
        <f>-103900609.94-26364178.33</f>
        <v>-130264788.27</v>
      </c>
      <c r="H569" s="168">
        <v>0</v>
      </c>
      <c r="I569" s="168">
        <v>0</v>
      </c>
      <c r="J569" s="168">
        <f aca="true" t="shared" si="94" ref="J569:J574">C569+D569+E569+F569+M569+G569+I569</f>
        <v>22138211.730000004</v>
      </c>
    </row>
    <row r="570" spans="2:10" ht="12.75">
      <c r="B570" s="166" t="s">
        <v>48</v>
      </c>
      <c r="C570" s="167">
        <v>42362120.93</v>
      </c>
      <c r="D570" s="167">
        <v>0</v>
      </c>
      <c r="E570" s="168">
        <f>19270325.65+70669386.96</f>
        <v>89939712.60999998</v>
      </c>
      <c r="F570" s="168">
        <v>0</v>
      </c>
      <c r="G570" s="168">
        <f>-11912946.05-101615959.51</f>
        <v>-113528905.56</v>
      </c>
      <c r="H570" s="168"/>
      <c r="I570" s="167">
        <v>0</v>
      </c>
      <c r="J570" s="168">
        <f t="shared" si="94"/>
        <v>18772927.97999999</v>
      </c>
    </row>
    <row r="571" spans="2:10" ht="12.75">
      <c r="B571" s="166" t="s">
        <v>49</v>
      </c>
      <c r="C571" s="167">
        <v>0</v>
      </c>
      <c r="D571" s="167"/>
      <c r="E571" s="168">
        <v>500000</v>
      </c>
      <c r="F571" s="168"/>
      <c r="G571" s="168">
        <v>-500000</v>
      </c>
      <c r="H571" s="168">
        <v>0</v>
      </c>
      <c r="I571" s="167">
        <v>0</v>
      </c>
      <c r="J571" s="168">
        <f t="shared" si="94"/>
        <v>0</v>
      </c>
    </row>
    <row r="572" spans="2:10" ht="12.75">
      <c r="B572" s="166" t="s">
        <v>50</v>
      </c>
      <c r="C572" s="167">
        <f>1518294.13+2991282.53</f>
        <v>4509576.66</v>
      </c>
      <c r="D572" s="167">
        <v>-422643</v>
      </c>
      <c r="E572" s="168">
        <v>0</v>
      </c>
      <c r="F572" s="168">
        <v>0</v>
      </c>
      <c r="G572" s="168">
        <v>0</v>
      </c>
      <c r="H572" s="168">
        <v>0</v>
      </c>
      <c r="I572" s="167">
        <v>422643</v>
      </c>
      <c r="J572" s="168">
        <f t="shared" si="94"/>
        <v>4509576.66</v>
      </c>
    </row>
    <row r="573" spans="2:10" ht="12.75">
      <c r="B573" s="166" t="s">
        <v>51</v>
      </c>
      <c r="C573" s="167">
        <v>600606.99</v>
      </c>
      <c r="D573" s="167">
        <v>0</v>
      </c>
      <c r="E573" s="168">
        <v>1392638.95</v>
      </c>
      <c r="F573" s="168">
        <v>-43623.01</v>
      </c>
      <c r="G573" s="168">
        <v>-1083208.23</v>
      </c>
      <c r="H573" s="168">
        <v>0</v>
      </c>
      <c r="I573" s="168">
        <v>0</v>
      </c>
      <c r="J573" s="168">
        <f t="shared" si="94"/>
        <v>866414.7</v>
      </c>
    </row>
    <row r="574" spans="2:10" ht="12.75">
      <c r="B574" s="166" t="s">
        <v>52</v>
      </c>
      <c r="C574" s="167">
        <v>0</v>
      </c>
      <c r="D574" s="167"/>
      <c r="E574" s="168"/>
      <c r="F574" s="168"/>
      <c r="G574" s="168">
        <v>0</v>
      </c>
      <c r="H574" s="168"/>
      <c r="I574" s="168"/>
      <c r="J574" s="168">
        <f t="shared" si="94"/>
        <v>0</v>
      </c>
    </row>
    <row r="575" spans="2:10" ht="13.5" thickBot="1">
      <c r="B575" s="32" t="s">
        <v>9</v>
      </c>
      <c r="C575" s="169">
        <f>SUM(C569:C574)</f>
        <v>47472304.580000006</v>
      </c>
      <c r="D575" s="169">
        <f aca="true" t="shared" si="95" ref="D575:J575">SUM(D569:D574)</f>
        <v>-422643</v>
      </c>
      <c r="E575" s="169">
        <f t="shared" si="95"/>
        <v>244235351.55999997</v>
      </c>
      <c r="F575" s="169">
        <f t="shared" si="95"/>
        <v>-43623.01</v>
      </c>
      <c r="G575" s="169">
        <f t="shared" si="95"/>
        <v>-245376902.05999997</v>
      </c>
      <c r="H575" s="169">
        <f t="shared" si="95"/>
        <v>0</v>
      </c>
      <c r="I575" s="169">
        <f t="shared" si="95"/>
        <v>422643</v>
      </c>
      <c r="J575" s="169">
        <f t="shared" si="95"/>
        <v>46287131.06999999</v>
      </c>
    </row>
    <row r="576" ht="13.5" thickTop="1"/>
    <row r="579" spans="2:10" ht="12.75">
      <c r="B579" s="184"/>
      <c r="C579" s="160">
        <v>43282</v>
      </c>
      <c r="D579" s="160">
        <f>C579</f>
        <v>43282</v>
      </c>
      <c r="E579" s="161" t="s">
        <v>584</v>
      </c>
      <c r="F579" s="162" t="s">
        <v>92</v>
      </c>
      <c r="G579" s="161" t="str">
        <f>E579</f>
        <v>Till 30-06-2019</v>
      </c>
      <c r="H579" s="163"/>
      <c r="I579" s="161" t="str">
        <f>E579</f>
        <v>Till 30-06-2019</v>
      </c>
      <c r="J579" s="161" t="s">
        <v>583</v>
      </c>
    </row>
    <row r="580" spans="2:10" ht="12.75">
      <c r="B580" s="39"/>
      <c r="C580" s="164"/>
      <c r="D580" s="164"/>
      <c r="E580" s="165"/>
      <c r="F580" s="165"/>
      <c r="G580" s="165"/>
      <c r="H580" s="237" t="s">
        <v>344</v>
      </c>
      <c r="I580" s="165"/>
      <c r="J580" s="165"/>
    </row>
    <row r="581" spans="2:10" ht="12.75">
      <c r="B581" s="166" t="s">
        <v>47</v>
      </c>
      <c r="C581" s="167">
        <v>0</v>
      </c>
      <c r="D581" s="167">
        <v>0</v>
      </c>
      <c r="E581" s="168">
        <v>152403000</v>
      </c>
      <c r="F581" s="168">
        <v>0</v>
      </c>
      <c r="G581" s="168">
        <f>-113031959.94-38810000</f>
        <v>-151841959.94</v>
      </c>
      <c r="H581" s="168">
        <v>0</v>
      </c>
      <c r="I581" s="168">
        <v>0</v>
      </c>
      <c r="J581" s="168">
        <f aca="true" t="shared" si="96" ref="J581:J586">C581+D581+E581+F581+M581+G581+I581</f>
        <v>561040.0600000024</v>
      </c>
    </row>
    <row r="582" spans="2:10" ht="12.75">
      <c r="B582" s="166" t="s">
        <v>48</v>
      </c>
      <c r="C582" s="167">
        <v>42362120.93</v>
      </c>
      <c r="D582" s="167">
        <v>0</v>
      </c>
      <c r="E582" s="168">
        <f>21820325.65+70669386.96</f>
        <v>92489712.60999998</v>
      </c>
      <c r="F582" s="168">
        <v>0</v>
      </c>
      <c r="G582" s="168">
        <f>-17115580.25-100372727.83</f>
        <v>-117488308.08</v>
      </c>
      <c r="H582" s="168"/>
      <c r="I582" s="167">
        <v>0</v>
      </c>
      <c r="J582" s="168">
        <f t="shared" si="96"/>
        <v>17363525.459999993</v>
      </c>
    </row>
    <row r="583" spans="2:10" ht="12.75">
      <c r="B583" s="166" t="s">
        <v>49</v>
      </c>
      <c r="C583" s="167">
        <v>0</v>
      </c>
      <c r="D583" s="167"/>
      <c r="E583" s="168">
        <v>500000</v>
      </c>
      <c r="F583" s="168"/>
      <c r="G583" s="168">
        <v>-500000</v>
      </c>
      <c r="H583" s="168">
        <v>0</v>
      </c>
      <c r="I583" s="167">
        <v>0</v>
      </c>
      <c r="J583" s="168">
        <f t="shared" si="96"/>
        <v>0</v>
      </c>
    </row>
    <row r="584" spans="2:10" ht="12.75">
      <c r="B584" s="166" t="s">
        <v>50</v>
      </c>
      <c r="C584" s="167">
        <f>1518294.13+2991282.53</f>
        <v>4509576.66</v>
      </c>
      <c r="D584" s="167">
        <v>-422643</v>
      </c>
      <c r="E584" s="168">
        <v>0</v>
      </c>
      <c r="F584" s="168">
        <v>0</v>
      </c>
      <c r="G584" s="168">
        <v>0</v>
      </c>
      <c r="H584" s="168">
        <v>0</v>
      </c>
      <c r="I584" s="167">
        <v>422643</v>
      </c>
      <c r="J584" s="168">
        <f t="shared" si="96"/>
        <v>4509576.66</v>
      </c>
    </row>
    <row r="585" spans="2:10" ht="12.75">
      <c r="B585" s="166" t="s">
        <v>51</v>
      </c>
      <c r="C585" s="167">
        <v>600606.99</v>
      </c>
      <c r="D585" s="167">
        <v>0</v>
      </c>
      <c r="E585" s="168">
        <v>1392638.95</v>
      </c>
      <c r="F585" s="168">
        <v>-43623.01</v>
      </c>
      <c r="G585" s="168">
        <v>-1131421.44</v>
      </c>
      <c r="H585" s="168">
        <v>0</v>
      </c>
      <c r="I585" s="168">
        <v>0</v>
      </c>
      <c r="J585" s="168">
        <f t="shared" si="96"/>
        <v>818201.49</v>
      </c>
    </row>
    <row r="586" spans="2:10" ht="12.75">
      <c r="B586" s="166" t="s">
        <v>52</v>
      </c>
      <c r="C586" s="167">
        <v>0</v>
      </c>
      <c r="D586" s="167"/>
      <c r="E586" s="168"/>
      <c r="F586" s="168"/>
      <c r="G586" s="168">
        <v>0</v>
      </c>
      <c r="H586" s="168"/>
      <c r="I586" s="168"/>
      <c r="J586" s="168">
        <f t="shared" si="96"/>
        <v>0</v>
      </c>
    </row>
    <row r="587" spans="2:10" ht="13.5" thickBot="1">
      <c r="B587" s="32" t="s">
        <v>9</v>
      </c>
      <c r="C587" s="169">
        <f>SUM(C581:C586)</f>
        <v>47472304.580000006</v>
      </c>
      <c r="D587" s="169">
        <f aca="true" t="shared" si="97" ref="D587:J587">SUM(D581:D586)</f>
        <v>-422643</v>
      </c>
      <c r="E587" s="169">
        <f t="shared" si="97"/>
        <v>246785351.55999997</v>
      </c>
      <c r="F587" s="169">
        <f t="shared" si="97"/>
        <v>-43623.01</v>
      </c>
      <c r="G587" s="169">
        <f t="shared" si="97"/>
        <v>-270961689.46</v>
      </c>
      <c r="H587" s="169">
        <f t="shared" si="97"/>
        <v>0</v>
      </c>
      <c r="I587" s="169">
        <f t="shared" si="97"/>
        <v>422643</v>
      </c>
      <c r="J587" s="169">
        <f t="shared" si="97"/>
        <v>23252343.669999994</v>
      </c>
    </row>
    <row r="588" ht="13.5" thickTop="1"/>
    <row r="591" spans="2:10" ht="12.75">
      <c r="B591" s="184"/>
      <c r="C591" s="160">
        <v>43282</v>
      </c>
      <c r="D591" s="160">
        <f>C591</f>
        <v>43282</v>
      </c>
      <c r="E591" s="161" t="s">
        <v>586</v>
      </c>
      <c r="F591" s="162" t="s">
        <v>92</v>
      </c>
      <c r="G591" s="161" t="str">
        <f>E591</f>
        <v>Till 31-07-2019</v>
      </c>
      <c r="H591" s="163"/>
      <c r="I591" s="161" t="str">
        <f>E591</f>
        <v>Till 31-07-2019</v>
      </c>
      <c r="J591" s="161" t="s">
        <v>585</v>
      </c>
    </row>
    <row r="592" spans="2:10" ht="12.75">
      <c r="B592" s="39"/>
      <c r="C592" s="164"/>
      <c r="D592" s="164"/>
      <c r="E592" s="165"/>
      <c r="F592" s="165"/>
      <c r="G592" s="165"/>
      <c r="H592" s="237" t="s">
        <v>344</v>
      </c>
      <c r="I592" s="165"/>
      <c r="J592" s="165"/>
    </row>
    <row r="593" spans="2:10" ht="12.75">
      <c r="B593" s="166" t="s">
        <v>47</v>
      </c>
      <c r="C593" s="167">
        <v>0</v>
      </c>
      <c r="D593" s="167">
        <v>0</v>
      </c>
      <c r="E593" s="168">
        <v>62354000</v>
      </c>
      <c r="F593" s="168">
        <v>0</v>
      </c>
      <c r="G593" s="168">
        <f>-9833000-254292</f>
        <v>-10087292</v>
      </c>
      <c r="H593" s="168">
        <v>0</v>
      </c>
      <c r="I593" s="168">
        <v>0</v>
      </c>
      <c r="J593" s="168">
        <f aca="true" t="shared" si="98" ref="J593:J598">C593+D593+E593+F593+M593+G593+I593</f>
        <v>52266708</v>
      </c>
    </row>
    <row r="594" spans="2:10" ht="12.75">
      <c r="B594" s="166" t="s">
        <v>48</v>
      </c>
      <c r="C594" s="167">
        <v>17320304.98</v>
      </c>
      <c r="D594" s="167">
        <v>0</v>
      </c>
      <c r="E594" s="168">
        <v>0</v>
      </c>
      <c r="F594" s="168">
        <v>0</v>
      </c>
      <c r="G594" s="168">
        <v>-747463.21</v>
      </c>
      <c r="H594" s="168"/>
      <c r="I594" s="167">
        <v>747463.21</v>
      </c>
      <c r="J594" s="168">
        <f t="shared" si="98"/>
        <v>17320304.98</v>
      </c>
    </row>
    <row r="595" spans="2:10" ht="12.75">
      <c r="B595" s="166" t="s">
        <v>49</v>
      </c>
      <c r="C595" s="167">
        <v>0</v>
      </c>
      <c r="D595" s="167"/>
      <c r="E595" s="168">
        <v>0</v>
      </c>
      <c r="F595" s="168"/>
      <c r="G595" s="168">
        <v>0</v>
      </c>
      <c r="H595" s="168">
        <v>0</v>
      </c>
      <c r="I595" s="167">
        <v>0</v>
      </c>
      <c r="J595" s="168">
        <f t="shared" si="98"/>
        <v>0</v>
      </c>
    </row>
    <row r="596" spans="2:10" ht="12.75">
      <c r="B596" s="166" t="s">
        <v>50</v>
      </c>
      <c r="C596" s="167">
        <f>1518294.13+2991282.53</f>
        <v>4509576.66</v>
      </c>
      <c r="D596" s="167">
        <v>-422643</v>
      </c>
      <c r="E596" s="168">
        <v>0</v>
      </c>
      <c r="F596" s="168">
        <v>0</v>
      </c>
      <c r="G596" s="168">
        <v>0</v>
      </c>
      <c r="H596" s="168">
        <v>0</v>
      </c>
      <c r="I596" s="167">
        <v>422643</v>
      </c>
      <c r="J596" s="168">
        <f t="shared" si="98"/>
        <v>4509576.66</v>
      </c>
    </row>
    <row r="597" spans="2:10" ht="12.75">
      <c r="B597" s="166" t="s">
        <v>51</v>
      </c>
      <c r="C597" s="167">
        <v>0</v>
      </c>
      <c r="D597" s="167">
        <v>0</v>
      </c>
      <c r="E597" s="168">
        <v>0</v>
      </c>
      <c r="F597" s="168">
        <v>0</v>
      </c>
      <c r="G597" s="168">
        <v>-50833.12</v>
      </c>
      <c r="H597" s="168">
        <v>0</v>
      </c>
      <c r="I597" s="168">
        <v>50833.12</v>
      </c>
      <c r="J597" s="168">
        <f t="shared" si="98"/>
        <v>0</v>
      </c>
    </row>
    <row r="598" spans="2:10" ht="12.75">
      <c r="B598" s="166" t="s">
        <v>52</v>
      </c>
      <c r="C598" s="167">
        <v>0</v>
      </c>
      <c r="D598" s="167"/>
      <c r="E598" s="168"/>
      <c r="F598" s="168"/>
      <c r="G598" s="168">
        <v>0</v>
      </c>
      <c r="H598" s="168"/>
      <c r="I598" s="168"/>
      <c r="J598" s="168">
        <f t="shared" si="98"/>
        <v>0</v>
      </c>
    </row>
    <row r="599" spans="2:10" ht="13.5" thickBot="1">
      <c r="B599" s="32" t="s">
        <v>9</v>
      </c>
      <c r="C599" s="169">
        <f>SUM(C593:C598)</f>
        <v>21829881.64</v>
      </c>
      <c r="D599" s="169">
        <f aca="true" t="shared" si="99" ref="D599:J599">SUM(D593:D598)</f>
        <v>-422643</v>
      </c>
      <c r="E599" s="169">
        <f t="shared" si="99"/>
        <v>62354000</v>
      </c>
      <c r="F599" s="169">
        <f t="shared" si="99"/>
        <v>0</v>
      </c>
      <c r="G599" s="169">
        <f t="shared" si="99"/>
        <v>-10885588.33</v>
      </c>
      <c r="H599" s="169">
        <f t="shared" si="99"/>
        <v>0</v>
      </c>
      <c r="I599" s="169">
        <f t="shared" si="99"/>
        <v>1220939.33</v>
      </c>
      <c r="J599" s="169">
        <f t="shared" si="99"/>
        <v>74096589.64</v>
      </c>
    </row>
    <row r="600" ht="13.5" thickTop="1"/>
    <row r="602" spans="2:10" ht="12.75">
      <c r="B602" s="184"/>
      <c r="C602" s="160">
        <v>43282</v>
      </c>
      <c r="D602" s="160">
        <f>C602</f>
        <v>43282</v>
      </c>
      <c r="E602" s="161" t="s">
        <v>586</v>
      </c>
      <c r="F602" s="162" t="s">
        <v>92</v>
      </c>
      <c r="G602" s="161" t="str">
        <f>E602</f>
        <v>Till 31-07-2019</v>
      </c>
      <c r="H602" s="163"/>
      <c r="I602" s="161" t="str">
        <f>E602</f>
        <v>Till 31-07-2019</v>
      </c>
      <c r="J602" s="161" t="s">
        <v>585</v>
      </c>
    </row>
    <row r="603" spans="2:10" ht="12.75">
      <c r="B603" s="39"/>
      <c r="C603" s="164"/>
      <c r="D603" s="164"/>
      <c r="E603" s="165"/>
      <c r="F603" s="165"/>
      <c r="G603" s="165"/>
      <c r="H603" s="237" t="s">
        <v>344</v>
      </c>
      <c r="I603" s="165"/>
      <c r="J603" s="165"/>
    </row>
    <row r="604" spans="2:10" ht="12.75">
      <c r="B604" s="166" t="s">
        <v>47</v>
      </c>
      <c r="C604" s="167">
        <v>1321838.63</v>
      </c>
      <c r="D604" s="167">
        <v>0</v>
      </c>
      <c r="E604" s="168">
        <v>64708000</v>
      </c>
      <c r="F604" s="168">
        <v>0</v>
      </c>
      <c r="G604" s="168">
        <f>-19921460.6-254292</f>
        <v>-20175752.6</v>
      </c>
      <c r="H604" s="168">
        <v>0</v>
      </c>
      <c r="I604" s="168">
        <v>0</v>
      </c>
      <c r="J604" s="168">
        <f aca="true" t="shared" si="100" ref="J604:J609">C604+D604+E604+F604+M604+G604+I604</f>
        <v>45854086.03</v>
      </c>
    </row>
    <row r="605" spans="2:10" ht="12.75">
      <c r="B605" s="166" t="s">
        <v>48</v>
      </c>
      <c r="C605" s="167">
        <v>15469691.45</v>
      </c>
      <c r="D605" s="167">
        <v>-85000</v>
      </c>
      <c r="E605" s="168">
        <v>3246000</v>
      </c>
      <c r="F605" s="168">
        <v>0</v>
      </c>
      <c r="G605" s="168">
        <f>-1570470.33-418104.19</f>
        <v>-1988574.52</v>
      </c>
      <c r="H605" s="168"/>
      <c r="I605" s="167">
        <v>85000</v>
      </c>
      <c r="J605" s="168">
        <f t="shared" si="100"/>
        <v>16727116.93</v>
      </c>
    </row>
    <row r="606" spans="2:10" ht="12.75">
      <c r="B606" s="166" t="s">
        <v>49</v>
      </c>
      <c r="C606" s="167">
        <v>0</v>
      </c>
      <c r="D606" s="167"/>
      <c r="E606" s="168">
        <v>0</v>
      </c>
      <c r="F606" s="168"/>
      <c r="G606" s="168">
        <v>0</v>
      </c>
      <c r="H606" s="168">
        <v>0</v>
      </c>
      <c r="I606" s="167">
        <v>0</v>
      </c>
      <c r="J606" s="168">
        <f t="shared" si="100"/>
        <v>0</v>
      </c>
    </row>
    <row r="607" spans="2:10" ht="12.75">
      <c r="B607" s="166" t="s">
        <v>50</v>
      </c>
      <c r="C607" s="167">
        <f>1518294.13+2991282.53</f>
        <v>4509576.66</v>
      </c>
      <c r="D607" s="167">
        <v>-422643</v>
      </c>
      <c r="E607" s="168">
        <v>0</v>
      </c>
      <c r="F607" s="168">
        <v>0</v>
      </c>
      <c r="G607" s="168">
        <v>0</v>
      </c>
      <c r="H607" s="168">
        <v>0</v>
      </c>
      <c r="I607" s="167">
        <v>422643</v>
      </c>
      <c r="J607" s="168">
        <f t="shared" si="100"/>
        <v>4509576.66</v>
      </c>
    </row>
    <row r="608" spans="2:10" ht="12.75">
      <c r="B608" s="166" t="s">
        <v>51</v>
      </c>
      <c r="C608" s="167">
        <v>0</v>
      </c>
      <c r="D608" s="167">
        <v>0</v>
      </c>
      <c r="E608" s="168">
        <v>0</v>
      </c>
      <c r="F608" s="168">
        <v>0</v>
      </c>
      <c r="G608" s="168">
        <v>-101666.24</v>
      </c>
      <c r="H608" s="168">
        <v>0</v>
      </c>
      <c r="I608" s="168">
        <v>101666.24</v>
      </c>
      <c r="J608" s="168">
        <f t="shared" si="100"/>
        <v>0</v>
      </c>
    </row>
    <row r="609" spans="2:10" ht="12.75">
      <c r="B609" s="166" t="s">
        <v>52</v>
      </c>
      <c r="C609" s="167">
        <v>0</v>
      </c>
      <c r="D609" s="167"/>
      <c r="E609" s="168"/>
      <c r="F609" s="168"/>
      <c r="G609" s="168">
        <v>0</v>
      </c>
      <c r="H609" s="168"/>
      <c r="I609" s="168"/>
      <c r="J609" s="168">
        <f t="shared" si="100"/>
        <v>0</v>
      </c>
    </row>
    <row r="610" spans="2:10" ht="13.5" thickBot="1">
      <c r="B610" s="32" t="s">
        <v>9</v>
      </c>
      <c r="C610" s="169">
        <f>SUM(C604:C609)</f>
        <v>21301106.74</v>
      </c>
      <c r="D610" s="169">
        <f aca="true" t="shared" si="101" ref="D610:J610">SUM(D604:D609)</f>
        <v>-507643</v>
      </c>
      <c r="E610" s="169">
        <f t="shared" si="101"/>
        <v>67954000</v>
      </c>
      <c r="F610" s="169">
        <f t="shared" si="101"/>
        <v>0</v>
      </c>
      <c r="G610" s="169">
        <f t="shared" si="101"/>
        <v>-22265993.36</v>
      </c>
      <c r="H610" s="169">
        <f t="shared" si="101"/>
        <v>0</v>
      </c>
      <c r="I610" s="169">
        <f t="shared" si="101"/>
        <v>609309.24</v>
      </c>
      <c r="J610" s="169">
        <f t="shared" si="101"/>
        <v>67090779.620000005</v>
      </c>
    </row>
    <row r="611" ht="13.5" thickTop="1"/>
    <row r="614" spans="2:10" ht="12.75">
      <c r="B614" s="184"/>
      <c r="C614" s="160">
        <v>43282</v>
      </c>
      <c r="D614" s="160">
        <f>C614</f>
        <v>43282</v>
      </c>
      <c r="E614" s="161" t="s">
        <v>590</v>
      </c>
      <c r="F614" s="162" t="s">
        <v>92</v>
      </c>
      <c r="G614" s="161" t="str">
        <f>E614</f>
        <v>Till 30-09-2019</v>
      </c>
      <c r="H614" s="163"/>
      <c r="I614" s="161" t="str">
        <f>E614</f>
        <v>Till 30-09-2019</v>
      </c>
      <c r="J614" s="161" t="s">
        <v>589</v>
      </c>
    </row>
    <row r="615" spans="2:10" ht="12.75">
      <c r="B615" s="39"/>
      <c r="C615" s="164"/>
      <c r="D615" s="164"/>
      <c r="E615" s="165"/>
      <c r="F615" s="165"/>
      <c r="G615" s="165"/>
      <c r="H615" s="237" t="s">
        <v>344</v>
      </c>
      <c r="I615" s="165"/>
      <c r="J615" s="165"/>
    </row>
    <row r="616" spans="2:10" ht="12.75">
      <c r="B616" s="166" t="s">
        <v>47</v>
      </c>
      <c r="C616" s="167">
        <v>1321838.63</v>
      </c>
      <c r="D616" s="167">
        <v>0</v>
      </c>
      <c r="E616" s="168">
        <v>64708000</v>
      </c>
      <c r="F616" s="168">
        <v>0</v>
      </c>
      <c r="G616" s="168">
        <f>-30202897.1-450907.91</f>
        <v>-30653805.01</v>
      </c>
      <c r="H616" s="168">
        <v>0</v>
      </c>
      <c r="I616" s="168">
        <v>0</v>
      </c>
      <c r="J616" s="168">
        <f aca="true" t="shared" si="102" ref="J616:J621">C616+D616+E616+F616+M616+G616+I616</f>
        <v>35376033.620000005</v>
      </c>
    </row>
    <row r="617" spans="2:10" ht="12.75">
      <c r="B617" s="166" t="s">
        <v>48</v>
      </c>
      <c r="C617" s="167">
        <v>15469691.45</v>
      </c>
      <c r="D617" s="167">
        <v>-85000</v>
      </c>
      <c r="E617" s="168">
        <v>3246000</v>
      </c>
      <c r="F617" s="168">
        <v>0</v>
      </c>
      <c r="G617" s="168">
        <f>-2322625.12-1522530.38</f>
        <v>-3845155.5</v>
      </c>
      <c r="H617" s="168"/>
      <c r="I617" s="167">
        <v>550126.28</v>
      </c>
      <c r="J617" s="168">
        <f t="shared" si="102"/>
        <v>15335662.229999999</v>
      </c>
    </row>
    <row r="618" spans="2:10" ht="12.75">
      <c r="B618" s="166" t="s">
        <v>49</v>
      </c>
      <c r="C618" s="167">
        <v>0</v>
      </c>
      <c r="D618" s="167"/>
      <c r="E618" s="168">
        <v>0</v>
      </c>
      <c r="F618" s="168"/>
      <c r="G618" s="168">
        <v>0</v>
      </c>
      <c r="H618" s="168">
        <v>0</v>
      </c>
      <c r="I618" s="167">
        <v>0</v>
      </c>
      <c r="J618" s="168">
        <f t="shared" si="102"/>
        <v>0</v>
      </c>
    </row>
    <row r="619" spans="2:10" ht="12.75">
      <c r="B619" s="166" t="s">
        <v>50</v>
      </c>
      <c r="C619" s="167">
        <f>1518294.13+2991282.53</f>
        <v>4509576.66</v>
      </c>
      <c r="D619" s="167">
        <v>-422643</v>
      </c>
      <c r="E619" s="168">
        <v>0</v>
      </c>
      <c r="F619" s="168">
        <v>0</v>
      </c>
      <c r="G619" s="168">
        <v>0</v>
      </c>
      <c r="H619" s="168">
        <v>0</v>
      </c>
      <c r="I619" s="167">
        <v>422643</v>
      </c>
      <c r="J619" s="168">
        <f t="shared" si="102"/>
        <v>4509576.66</v>
      </c>
    </row>
    <row r="620" spans="2:10" ht="12.75">
      <c r="B620" s="166" t="s">
        <v>51</v>
      </c>
      <c r="C620" s="167">
        <v>0</v>
      </c>
      <c r="D620" s="167">
        <v>0</v>
      </c>
      <c r="E620" s="168">
        <v>0</v>
      </c>
      <c r="F620" s="168">
        <v>0</v>
      </c>
      <c r="G620" s="168">
        <v>-152499.36</v>
      </c>
      <c r="H620" s="168">
        <v>0</v>
      </c>
      <c r="I620" s="168">
        <v>152499.36</v>
      </c>
      <c r="J620" s="168">
        <f t="shared" si="102"/>
        <v>0</v>
      </c>
    </row>
    <row r="621" spans="2:10" ht="12.75">
      <c r="B621" s="166" t="s">
        <v>52</v>
      </c>
      <c r="C621" s="167">
        <v>0</v>
      </c>
      <c r="D621" s="167"/>
      <c r="E621" s="168"/>
      <c r="F621" s="168"/>
      <c r="G621" s="168">
        <v>0</v>
      </c>
      <c r="H621" s="168"/>
      <c r="I621" s="168"/>
      <c r="J621" s="168">
        <f t="shared" si="102"/>
        <v>0</v>
      </c>
    </row>
    <row r="622" spans="2:10" ht="13.5" thickBot="1">
      <c r="B622" s="32" t="s">
        <v>9</v>
      </c>
      <c r="C622" s="169">
        <f>SUM(C616:C621)</f>
        <v>21301106.74</v>
      </c>
      <c r="D622" s="169">
        <f aca="true" t="shared" si="103" ref="D622:J622">SUM(D616:D621)</f>
        <v>-507643</v>
      </c>
      <c r="E622" s="169">
        <f t="shared" si="103"/>
        <v>67954000</v>
      </c>
      <c r="F622" s="169">
        <f t="shared" si="103"/>
        <v>0</v>
      </c>
      <c r="G622" s="169">
        <f t="shared" si="103"/>
        <v>-34651459.870000005</v>
      </c>
      <c r="H622" s="169">
        <f t="shared" si="103"/>
        <v>0</v>
      </c>
      <c r="I622" s="169">
        <f t="shared" si="103"/>
        <v>1125268.6400000001</v>
      </c>
      <c r="J622" s="169">
        <f t="shared" si="103"/>
        <v>55221272.510000005</v>
      </c>
    </row>
    <row r="623" ht="13.5" thickTop="1"/>
    <row r="628" spans="2:10" ht="12.75">
      <c r="B628" s="184"/>
      <c r="C628" s="160">
        <v>43282</v>
      </c>
      <c r="D628" s="160">
        <f>C628</f>
        <v>43282</v>
      </c>
      <c r="E628" s="161" t="s">
        <v>598</v>
      </c>
      <c r="F628" s="162" t="s">
        <v>92</v>
      </c>
      <c r="G628" s="161" t="str">
        <f>E628</f>
        <v>Till 31-10-2019</v>
      </c>
      <c r="H628" s="163"/>
      <c r="I628" s="161" t="str">
        <f>E628</f>
        <v>Till 31-10-2019</v>
      </c>
      <c r="J628" s="161" t="s">
        <v>597</v>
      </c>
    </row>
    <row r="629" spans="2:10" ht="12.75">
      <c r="B629" s="39"/>
      <c r="C629" s="164"/>
      <c r="D629" s="164"/>
      <c r="E629" s="165"/>
      <c r="F629" s="165"/>
      <c r="G629" s="165"/>
      <c r="H629" s="237" t="s">
        <v>344</v>
      </c>
      <c r="I629" s="165"/>
      <c r="J629" s="165"/>
    </row>
    <row r="630" spans="2:10" ht="12.75">
      <c r="B630" s="166" t="s">
        <v>47</v>
      </c>
      <c r="C630" s="167">
        <v>1321838.63</v>
      </c>
      <c r="D630" s="167">
        <v>0</v>
      </c>
      <c r="E630" s="168">
        <v>64708000</v>
      </c>
      <c r="F630" s="168">
        <v>0</v>
      </c>
      <c r="G630" s="168">
        <f>-41403268.25-672117.91</f>
        <v>-42075386.16</v>
      </c>
      <c r="H630" s="168">
        <v>0</v>
      </c>
      <c r="I630" s="168">
        <v>361597.1</v>
      </c>
      <c r="J630" s="168">
        <f aca="true" t="shared" si="104" ref="J630:J635">C630+D630+E630+F630+M630+G630+I630</f>
        <v>24316049.570000008</v>
      </c>
    </row>
    <row r="631" spans="2:10" ht="12.75">
      <c r="B631" s="166" t="s">
        <v>48</v>
      </c>
      <c r="C631" s="167">
        <v>15469691.45</v>
      </c>
      <c r="D631" s="167">
        <v>-85000</v>
      </c>
      <c r="E631" s="168">
        <v>6492000</v>
      </c>
      <c r="F631" s="168">
        <v>0</v>
      </c>
      <c r="G631" s="168">
        <f>-3229163.17-2892741.47</f>
        <v>-6121904.640000001</v>
      </c>
      <c r="H631" s="168"/>
      <c r="I631" s="167">
        <v>2015059.37</v>
      </c>
      <c r="J631" s="168">
        <f t="shared" si="104"/>
        <v>17769846.18</v>
      </c>
    </row>
    <row r="632" spans="2:10" ht="12.75">
      <c r="B632" s="166" t="s">
        <v>49</v>
      </c>
      <c r="C632" s="167">
        <v>0</v>
      </c>
      <c r="D632" s="167"/>
      <c r="E632" s="168">
        <v>0</v>
      </c>
      <c r="F632" s="168"/>
      <c r="G632" s="168">
        <v>0</v>
      </c>
      <c r="H632" s="168">
        <v>0</v>
      </c>
      <c r="I632" s="167">
        <v>0</v>
      </c>
      <c r="J632" s="168">
        <f t="shared" si="104"/>
        <v>0</v>
      </c>
    </row>
    <row r="633" spans="2:10" ht="12.75">
      <c r="B633" s="166" t="s">
        <v>50</v>
      </c>
      <c r="C633" s="167">
        <f>1518294.13+2991282.53</f>
        <v>4509576.66</v>
      </c>
      <c r="D633" s="167">
        <v>-422643</v>
      </c>
      <c r="E633" s="168">
        <v>0</v>
      </c>
      <c r="F633" s="168">
        <v>0</v>
      </c>
      <c r="G633" s="168">
        <v>0</v>
      </c>
      <c r="H633" s="168">
        <v>0</v>
      </c>
      <c r="I633" s="167">
        <v>422643</v>
      </c>
      <c r="J633" s="168">
        <f t="shared" si="104"/>
        <v>4509576.66</v>
      </c>
    </row>
    <row r="634" spans="2:10" ht="12.75">
      <c r="B634" s="166" t="s">
        <v>51</v>
      </c>
      <c r="C634" s="167">
        <v>0</v>
      </c>
      <c r="D634" s="167">
        <v>0</v>
      </c>
      <c r="E634" s="168">
        <v>0</v>
      </c>
      <c r="F634" s="168">
        <v>0</v>
      </c>
      <c r="G634" s="168">
        <v>-203332.48</v>
      </c>
      <c r="H634" s="168">
        <v>0</v>
      </c>
      <c r="I634" s="168">
        <v>203332.48</v>
      </c>
      <c r="J634" s="168">
        <f t="shared" si="104"/>
        <v>0</v>
      </c>
    </row>
    <row r="635" spans="2:10" ht="12.75">
      <c r="B635" s="166" t="s">
        <v>52</v>
      </c>
      <c r="C635" s="167">
        <v>0</v>
      </c>
      <c r="D635" s="167"/>
      <c r="E635" s="168"/>
      <c r="F635" s="168"/>
      <c r="G635" s="168">
        <v>0</v>
      </c>
      <c r="H635" s="168"/>
      <c r="I635" s="168"/>
      <c r="J635" s="168">
        <f t="shared" si="104"/>
        <v>0</v>
      </c>
    </row>
    <row r="636" spans="2:10" ht="13.5" thickBot="1">
      <c r="B636" s="32" t="s">
        <v>9</v>
      </c>
      <c r="C636" s="169">
        <f>SUM(C630:C635)</f>
        <v>21301106.74</v>
      </c>
      <c r="D636" s="169">
        <f aca="true" t="shared" si="105" ref="D636:J636">SUM(D630:D635)</f>
        <v>-507643</v>
      </c>
      <c r="E636" s="169">
        <f t="shared" si="105"/>
        <v>71200000</v>
      </c>
      <c r="F636" s="169">
        <f t="shared" si="105"/>
        <v>0</v>
      </c>
      <c r="G636" s="169">
        <f t="shared" si="105"/>
        <v>-48400623.279999994</v>
      </c>
      <c r="H636" s="169">
        <f t="shared" si="105"/>
        <v>0</v>
      </c>
      <c r="I636" s="169">
        <f t="shared" si="105"/>
        <v>3002631.95</v>
      </c>
      <c r="J636" s="169">
        <f t="shared" si="105"/>
        <v>46595472.41000001</v>
      </c>
    </row>
    <row r="637" ht="13.5" thickTop="1"/>
    <row r="642" spans="2:10" ht="12.75">
      <c r="B642" s="184"/>
      <c r="C642" s="160">
        <v>43282</v>
      </c>
      <c r="D642" s="160">
        <f>C642</f>
        <v>43282</v>
      </c>
      <c r="E642" s="161" t="s">
        <v>601</v>
      </c>
      <c r="F642" s="162" t="s">
        <v>92</v>
      </c>
      <c r="G642" s="161" t="str">
        <f>E642</f>
        <v>Till 30-11-2019</v>
      </c>
      <c r="H642" s="163"/>
      <c r="I642" s="161" t="str">
        <f>E642</f>
        <v>Till 30-11-2019</v>
      </c>
      <c r="J642" s="161" t="s">
        <v>602</v>
      </c>
    </row>
    <row r="643" spans="2:10" ht="12.75">
      <c r="B643" s="39"/>
      <c r="C643" s="164"/>
      <c r="D643" s="164"/>
      <c r="E643" s="165"/>
      <c r="F643" s="165"/>
      <c r="G643" s="165"/>
      <c r="H643" s="237" t="s">
        <v>344</v>
      </c>
      <c r="I643" s="165"/>
      <c r="J643" s="165"/>
    </row>
    <row r="644" spans="2:10" ht="12.75">
      <c r="B644" s="166" t="s">
        <v>47</v>
      </c>
      <c r="C644" s="167">
        <v>1321838.63</v>
      </c>
      <c r="D644" s="167">
        <v>0</v>
      </c>
      <c r="E644" s="168">
        <v>69708000</v>
      </c>
      <c r="F644" s="168">
        <v>0</v>
      </c>
      <c r="G644" s="168">
        <f>-51368551.83-2545520.61</f>
        <v>-53914072.44</v>
      </c>
      <c r="H644" s="168">
        <v>-1321838.63</v>
      </c>
      <c r="I644" s="168">
        <v>392407.1</v>
      </c>
      <c r="J644" s="168">
        <f aca="true" t="shared" si="106" ref="J644:J649">C644+D644+E644+F644+M644+G644+I644+H644</f>
        <v>16186334.66</v>
      </c>
    </row>
    <row r="645" spans="2:10" ht="12.75">
      <c r="B645" s="166" t="s">
        <v>48</v>
      </c>
      <c r="C645" s="167">
        <v>15469691.45</v>
      </c>
      <c r="D645" s="167">
        <v>-85000</v>
      </c>
      <c r="E645" s="168">
        <v>12002633</v>
      </c>
      <c r="F645" s="168">
        <v>0</v>
      </c>
      <c r="G645" s="168">
        <f>-4787754.7-3677051.68</f>
        <v>-8464806.38</v>
      </c>
      <c r="H645" s="168">
        <v>-3481.01</v>
      </c>
      <c r="I645" s="167">
        <v>179722</v>
      </c>
      <c r="J645" s="168">
        <f t="shared" si="106"/>
        <v>19098759.06</v>
      </c>
    </row>
    <row r="646" spans="2:10" ht="12.75">
      <c r="B646" s="166" t="s">
        <v>49</v>
      </c>
      <c r="C646" s="167">
        <v>0</v>
      </c>
      <c r="D646" s="167"/>
      <c r="E646" s="168">
        <v>0</v>
      </c>
      <c r="F646" s="168"/>
      <c r="G646" s="168">
        <v>0</v>
      </c>
      <c r="H646" s="168">
        <v>0</v>
      </c>
      <c r="I646" s="167">
        <v>0</v>
      </c>
      <c r="J646" s="168">
        <f t="shared" si="106"/>
        <v>0</v>
      </c>
    </row>
    <row r="647" spans="2:10" ht="12.75">
      <c r="B647" s="166" t="s">
        <v>50</v>
      </c>
      <c r="C647" s="167">
        <f>1518294.13+2991282.53</f>
        <v>4509576.66</v>
      </c>
      <c r="D647" s="167">
        <v>-422643</v>
      </c>
      <c r="E647" s="168">
        <v>0</v>
      </c>
      <c r="F647" s="168">
        <v>0</v>
      </c>
      <c r="G647" s="168">
        <v>0</v>
      </c>
      <c r="H647" s="168">
        <v>0</v>
      </c>
      <c r="I647" s="167">
        <v>422643</v>
      </c>
      <c r="J647" s="168">
        <f t="shared" si="106"/>
        <v>4509576.66</v>
      </c>
    </row>
    <row r="648" spans="2:10" ht="12.75">
      <c r="B648" s="166" t="s">
        <v>51</v>
      </c>
      <c r="C648" s="167">
        <v>0</v>
      </c>
      <c r="D648" s="167">
        <v>0</v>
      </c>
      <c r="E648" s="168">
        <v>0</v>
      </c>
      <c r="F648" s="168">
        <v>0</v>
      </c>
      <c r="G648" s="168">
        <v>-254165.6</v>
      </c>
      <c r="H648" s="168">
        <v>0</v>
      </c>
      <c r="I648" s="168">
        <v>254165.6</v>
      </c>
      <c r="J648" s="168">
        <f t="shared" si="106"/>
        <v>0</v>
      </c>
    </row>
    <row r="649" spans="2:10" ht="12.75">
      <c r="B649" s="166" t="s">
        <v>52</v>
      </c>
      <c r="C649" s="167">
        <v>0</v>
      </c>
      <c r="D649" s="167"/>
      <c r="E649" s="168"/>
      <c r="F649" s="168"/>
      <c r="G649" s="168">
        <v>0</v>
      </c>
      <c r="H649" s="168"/>
      <c r="I649" s="168"/>
      <c r="J649" s="168">
        <f t="shared" si="106"/>
        <v>0</v>
      </c>
    </row>
    <row r="650" spans="2:10" ht="13.5" thickBot="1">
      <c r="B650" s="32" t="s">
        <v>9</v>
      </c>
      <c r="C650" s="169">
        <f>SUM(C644:C649)</f>
        <v>21301106.74</v>
      </c>
      <c r="D650" s="169">
        <f aca="true" t="shared" si="107" ref="D650:J650">SUM(D644:D649)</f>
        <v>-507643</v>
      </c>
      <c r="E650" s="169">
        <f t="shared" si="107"/>
        <v>81710633</v>
      </c>
      <c r="F650" s="169">
        <f t="shared" si="107"/>
        <v>0</v>
      </c>
      <c r="G650" s="169">
        <f t="shared" si="107"/>
        <v>-62633044.42</v>
      </c>
      <c r="H650" s="169">
        <f t="shared" si="107"/>
        <v>-1325319.64</v>
      </c>
      <c r="I650" s="169">
        <f t="shared" si="107"/>
        <v>1248937.7</v>
      </c>
      <c r="J650" s="169">
        <f t="shared" si="107"/>
        <v>39794670.379999995</v>
      </c>
    </row>
    <row r="651" ht="13.5" thickTop="1"/>
    <row r="654" spans="2:10" ht="12.75">
      <c r="B654" s="184"/>
      <c r="C654" s="160">
        <v>43282</v>
      </c>
      <c r="D654" s="160">
        <f>C654</f>
        <v>43282</v>
      </c>
      <c r="E654" s="161" t="s">
        <v>605</v>
      </c>
      <c r="F654" s="162" t="s">
        <v>92</v>
      </c>
      <c r="G654" s="161" t="str">
        <f>E654</f>
        <v>Till 31-12-2019</v>
      </c>
      <c r="H654" s="163"/>
      <c r="I654" s="161" t="str">
        <f>E654</f>
        <v>Till 31-12-2019</v>
      </c>
      <c r="J654" s="161" t="s">
        <v>604</v>
      </c>
    </row>
    <row r="655" spans="2:10" ht="12.75">
      <c r="B655" s="39"/>
      <c r="C655" s="164"/>
      <c r="D655" s="164"/>
      <c r="E655" s="165"/>
      <c r="F655" s="165"/>
      <c r="G655" s="165"/>
      <c r="H655" s="237" t="s">
        <v>344</v>
      </c>
      <c r="I655" s="165"/>
      <c r="J655" s="165"/>
    </row>
    <row r="656" spans="2:10" ht="12.75">
      <c r="B656" s="166" t="s">
        <v>47</v>
      </c>
      <c r="C656" s="167">
        <v>1321838.63</v>
      </c>
      <c r="D656" s="167">
        <v>0</v>
      </c>
      <c r="E656" s="168">
        <v>109040000</v>
      </c>
      <c r="F656" s="168">
        <v>0</v>
      </c>
      <c r="G656" s="168">
        <f>-64709017.75-2957274.01</f>
        <v>-67666291.76</v>
      </c>
      <c r="H656" s="168">
        <v>-1321838.63</v>
      </c>
      <c r="I656" s="168">
        <v>580539.7</v>
      </c>
      <c r="J656" s="168">
        <f aca="true" t="shared" si="108" ref="J656:J661">C656+D656+E656+F656+M656+G656+I656+H656</f>
        <v>41954247.93999999</v>
      </c>
    </row>
    <row r="657" spans="2:10" ht="12.75">
      <c r="B657" s="166" t="s">
        <v>48</v>
      </c>
      <c r="C657" s="167">
        <v>15469691.45</v>
      </c>
      <c r="D657" s="167">
        <v>-85000</v>
      </c>
      <c r="E657" s="168">
        <v>12002633</v>
      </c>
      <c r="F657" s="168">
        <v>0</v>
      </c>
      <c r="G657" s="168">
        <f>-5841865.48-4472054.14</f>
        <v>-10313919.620000001</v>
      </c>
      <c r="H657" s="168">
        <v>-3481.01</v>
      </c>
      <c r="I657" s="167">
        <v>318559.59</v>
      </c>
      <c r="J657" s="168">
        <f t="shared" si="108"/>
        <v>17388483.409999996</v>
      </c>
    </row>
    <row r="658" spans="2:10" ht="12.75">
      <c r="B658" s="166" t="s">
        <v>49</v>
      </c>
      <c r="C658" s="167">
        <v>0</v>
      </c>
      <c r="D658" s="167"/>
      <c r="E658" s="168">
        <v>0</v>
      </c>
      <c r="F658" s="168"/>
      <c r="G658" s="168">
        <v>0</v>
      </c>
      <c r="H658" s="168">
        <v>0</v>
      </c>
      <c r="I658" s="167">
        <v>0</v>
      </c>
      <c r="J658" s="168">
        <f t="shared" si="108"/>
        <v>0</v>
      </c>
    </row>
    <row r="659" spans="2:10" ht="12.75">
      <c r="B659" s="166" t="s">
        <v>50</v>
      </c>
      <c r="C659" s="167">
        <f>1518294.13+2991282.53</f>
        <v>4509576.66</v>
      </c>
      <c r="D659" s="167">
        <v>-422643</v>
      </c>
      <c r="E659" s="168">
        <v>0</v>
      </c>
      <c r="F659" s="168">
        <v>0</v>
      </c>
      <c r="G659" s="168">
        <v>0</v>
      </c>
      <c r="H659" s="168">
        <v>0</v>
      </c>
      <c r="I659" s="167">
        <v>422643</v>
      </c>
      <c r="J659" s="168">
        <f t="shared" si="108"/>
        <v>4509576.66</v>
      </c>
    </row>
    <row r="660" spans="2:10" ht="12.75">
      <c r="B660" s="166" t="s">
        <v>51</v>
      </c>
      <c r="C660" s="167">
        <v>0</v>
      </c>
      <c r="D660" s="167">
        <v>0</v>
      </c>
      <c r="E660" s="168">
        <v>0</v>
      </c>
      <c r="F660" s="168">
        <v>0</v>
      </c>
      <c r="G660" s="168">
        <v>-304998.72</v>
      </c>
      <c r="H660" s="168">
        <v>0</v>
      </c>
      <c r="I660" s="168">
        <v>304998.72</v>
      </c>
      <c r="J660" s="168">
        <f t="shared" si="108"/>
        <v>0</v>
      </c>
    </row>
    <row r="661" spans="2:10" ht="12.75">
      <c r="B661" s="166" t="s">
        <v>52</v>
      </c>
      <c r="C661" s="167">
        <v>0</v>
      </c>
      <c r="D661" s="167"/>
      <c r="E661" s="168"/>
      <c r="F661" s="168"/>
      <c r="G661" s="168">
        <v>0</v>
      </c>
      <c r="H661" s="168"/>
      <c r="I661" s="168"/>
      <c r="J661" s="168">
        <f t="shared" si="108"/>
        <v>0</v>
      </c>
    </row>
    <row r="662" spans="2:10" ht="13.5" thickBot="1">
      <c r="B662" s="32" t="s">
        <v>9</v>
      </c>
      <c r="C662" s="169">
        <f>SUM(C656:C661)</f>
        <v>21301106.74</v>
      </c>
      <c r="D662" s="169">
        <f aca="true" t="shared" si="109" ref="D662:J662">SUM(D656:D661)</f>
        <v>-507643</v>
      </c>
      <c r="E662" s="169">
        <f t="shared" si="109"/>
        <v>121042633</v>
      </c>
      <c r="F662" s="169">
        <f t="shared" si="109"/>
        <v>0</v>
      </c>
      <c r="G662" s="169">
        <f t="shared" si="109"/>
        <v>-78285210.10000001</v>
      </c>
      <c r="H662" s="169">
        <f t="shared" si="109"/>
        <v>-1325319.64</v>
      </c>
      <c r="I662" s="169">
        <f t="shared" si="109"/>
        <v>1626741.01</v>
      </c>
      <c r="J662" s="169">
        <f t="shared" si="109"/>
        <v>63852308.00999999</v>
      </c>
    </row>
    <row r="663" ht="13.5" thickTop="1"/>
    <row r="665" spans="2:10" ht="12.75">
      <c r="B665" s="184"/>
      <c r="C665" s="160">
        <v>43282</v>
      </c>
      <c r="D665" s="160">
        <f>C665</f>
        <v>43282</v>
      </c>
      <c r="E665" s="161" t="s">
        <v>608</v>
      </c>
      <c r="F665" s="162" t="s">
        <v>92</v>
      </c>
      <c r="G665" s="161" t="str">
        <f>E665</f>
        <v>Till 31-01-2020</v>
      </c>
      <c r="H665" s="163"/>
      <c r="I665" s="161" t="str">
        <f>E665</f>
        <v>Till 31-01-2020</v>
      </c>
      <c r="J665" s="161" t="s">
        <v>607</v>
      </c>
    </row>
    <row r="666" spans="2:10" ht="12.75">
      <c r="B666" s="39"/>
      <c r="C666" s="164"/>
      <c r="D666" s="164"/>
      <c r="E666" s="165"/>
      <c r="F666" s="165"/>
      <c r="G666" s="165"/>
      <c r="H666" s="237" t="s">
        <v>344</v>
      </c>
      <c r="I666" s="165"/>
      <c r="J666" s="165"/>
    </row>
    <row r="667" spans="2:10" ht="12.75">
      <c r="B667" s="166" t="s">
        <v>47</v>
      </c>
      <c r="C667" s="167">
        <v>1321838.63</v>
      </c>
      <c r="D667" s="167">
        <v>0</v>
      </c>
      <c r="E667" s="168">
        <v>109040000</v>
      </c>
      <c r="F667" s="168">
        <v>0</v>
      </c>
      <c r="G667" s="168">
        <f>-78256079.27-3251065.5</f>
        <v>-81507144.77</v>
      </c>
      <c r="H667" s="168">
        <v>-1321838.63</v>
      </c>
      <c r="I667" s="168">
        <v>885678.3</v>
      </c>
      <c r="J667" s="168">
        <f aca="true" t="shared" si="110" ref="J667:J672">C667+D667+E667+F667+M667+G667+I667+H667</f>
        <v>28418533.53</v>
      </c>
    </row>
    <row r="668" spans="2:10" ht="12.75">
      <c r="B668" s="166" t="s">
        <v>48</v>
      </c>
      <c r="C668" s="167">
        <v>15469691.45</v>
      </c>
      <c r="D668" s="167">
        <v>-85000</v>
      </c>
      <c r="E668" s="168">
        <v>13082633</v>
      </c>
      <c r="F668" s="168">
        <v>0</v>
      </c>
      <c r="G668" s="168">
        <f>-6613495.93-4475688.14</f>
        <v>-11089184.07</v>
      </c>
      <c r="H668" s="168">
        <v>-3481.01</v>
      </c>
      <c r="I668" s="167">
        <v>85000</v>
      </c>
      <c r="J668" s="168">
        <f t="shared" si="110"/>
        <v>17459659.369999997</v>
      </c>
    </row>
    <row r="669" spans="2:10" ht="12.75">
      <c r="B669" s="166" t="s">
        <v>49</v>
      </c>
      <c r="C669" s="167">
        <v>0</v>
      </c>
      <c r="D669" s="167"/>
      <c r="E669" s="168">
        <v>100000</v>
      </c>
      <c r="F669" s="168"/>
      <c r="G669" s="168">
        <v>0</v>
      </c>
      <c r="H669" s="168">
        <v>0</v>
      </c>
      <c r="I669" s="167">
        <v>0</v>
      </c>
      <c r="J669" s="168">
        <f t="shared" si="110"/>
        <v>100000</v>
      </c>
    </row>
    <row r="670" spans="2:10" ht="12.75">
      <c r="B670" s="166" t="s">
        <v>50</v>
      </c>
      <c r="C670" s="167">
        <f>1518294.13+2991282.53</f>
        <v>4509576.66</v>
      </c>
      <c r="D670" s="167">
        <v>-422643</v>
      </c>
      <c r="E670" s="168">
        <v>0</v>
      </c>
      <c r="F670" s="168">
        <v>0</v>
      </c>
      <c r="G670" s="168">
        <v>0</v>
      </c>
      <c r="H670" s="168">
        <v>0</v>
      </c>
      <c r="I670" s="167">
        <v>422643</v>
      </c>
      <c r="J670" s="168">
        <f t="shared" si="110"/>
        <v>4509576.66</v>
      </c>
    </row>
    <row r="671" spans="2:10" ht="12.75">
      <c r="B671" s="166" t="s">
        <v>51</v>
      </c>
      <c r="C671" s="167">
        <v>0</v>
      </c>
      <c r="D671" s="167">
        <v>0</v>
      </c>
      <c r="E671" s="168">
        <v>102296.86</v>
      </c>
      <c r="F671" s="168">
        <v>0</v>
      </c>
      <c r="G671" s="168">
        <v>-356338.4</v>
      </c>
      <c r="H671" s="168">
        <v>0</v>
      </c>
      <c r="I671" s="168">
        <v>356338.4</v>
      </c>
      <c r="J671" s="168">
        <f t="shared" si="110"/>
        <v>102296.85999999999</v>
      </c>
    </row>
    <row r="672" spans="2:10" ht="12.75">
      <c r="B672" s="166" t="s">
        <v>52</v>
      </c>
      <c r="C672" s="167">
        <v>0</v>
      </c>
      <c r="D672" s="167"/>
      <c r="E672" s="168"/>
      <c r="F672" s="168"/>
      <c r="G672" s="168">
        <v>0</v>
      </c>
      <c r="H672" s="168"/>
      <c r="I672" s="168"/>
      <c r="J672" s="168">
        <f t="shared" si="110"/>
        <v>0</v>
      </c>
    </row>
    <row r="673" spans="2:10" ht="13.5" thickBot="1">
      <c r="B673" s="32" t="s">
        <v>9</v>
      </c>
      <c r="C673" s="169">
        <f>SUM(C667:C672)</f>
        <v>21301106.74</v>
      </c>
      <c r="D673" s="169">
        <f aca="true" t="shared" si="111" ref="D673:J673">SUM(D667:D672)</f>
        <v>-507643</v>
      </c>
      <c r="E673" s="169">
        <f t="shared" si="111"/>
        <v>122324929.86</v>
      </c>
      <c r="F673" s="169">
        <f t="shared" si="111"/>
        <v>0</v>
      </c>
      <c r="G673" s="169">
        <f t="shared" si="111"/>
        <v>-92952667.24000001</v>
      </c>
      <c r="H673" s="169">
        <f t="shared" si="111"/>
        <v>-1325319.64</v>
      </c>
      <c r="I673" s="169">
        <f t="shared" si="111"/>
        <v>1749659.7000000002</v>
      </c>
      <c r="J673" s="169">
        <f t="shared" si="111"/>
        <v>50590066.42</v>
      </c>
    </row>
    <row r="674" ht="13.5" thickTop="1"/>
  </sheetData>
  <sheetProtection/>
  <printOptions/>
  <pageMargins left="0.46" right="0.4" top="0.5" bottom="0.45" header="0.18" footer="0.31"/>
  <pageSetup fitToHeight="4" fitToWidth="1" horizontalDpi="600" verticalDpi="600" orientation="landscape" paperSize="9" r:id="rId1"/>
  <headerFooter alignWithMargins="0">
    <oddHeader>&amp;C&amp;"Arial,Bold"&amp;11&amp;A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96"/>
  <sheetViews>
    <sheetView zoomScale="80" zoomScaleNormal="80" zoomScalePageLayoutView="0" workbookViewId="0" topLeftCell="A1">
      <pane xSplit="2" ySplit="1" topLeftCell="C16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01" sqref="K201"/>
    </sheetView>
  </sheetViews>
  <sheetFormatPr defaultColWidth="9.140625" defaultRowHeight="12.75"/>
  <cols>
    <col min="1" max="1" width="23.28125" style="0" customWidth="1"/>
    <col min="2" max="2" width="3.140625" style="0" customWidth="1"/>
    <col min="3" max="3" width="15.140625" style="2" customWidth="1"/>
    <col min="4" max="4" width="13.57421875" style="2" customWidth="1"/>
    <col min="5" max="5" width="12.28125" style="0" customWidth="1"/>
    <col min="6" max="6" width="14.7109375" style="0" customWidth="1"/>
    <col min="7" max="7" width="14.8515625" style="2" customWidth="1"/>
    <col min="8" max="8" width="14.140625" style="0" customWidth="1"/>
    <col min="9" max="9" width="14.7109375" style="0" customWidth="1"/>
    <col min="10" max="10" width="15.140625" style="0" bestFit="1" customWidth="1"/>
    <col min="11" max="11" width="14.00390625" style="0" bestFit="1" customWidth="1"/>
    <col min="12" max="13" width="11.28125" style="0" bestFit="1" customWidth="1"/>
    <col min="14" max="14" width="12.8515625" style="0" bestFit="1" customWidth="1"/>
    <col min="15" max="15" width="14.57421875" style="0" customWidth="1"/>
    <col min="16" max="16" width="17.140625" style="0" customWidth="1"/>
  </cols>
  <sheetData>
    <row r="2" spans="3:14" ht="12.75">
      <c r="C2" s="7" t="s">
        <v>4</v>
      </c>
      <c r="D2" s="219" t="s">
        <v>4</v>
      </c>
      <c r="E2" s="219" t="s">
        <v>4</v>
      </c>
      <c r="F2" s="219" t="s">
        <v>4</v>
      </c>
      <c r="G2" s="219" t="s">
        <v>4</v>
      </c>
      <c r="H2" s="219" t="s">
        <v>4</v>
      </c>
      <c r="I2" s="7" t="s">
        <v>4</v>
      </c>
      <c r="J2" s="220" t="s">
        <v>4</v>
      </c>
      <c r="K2" s="220" t="s">
        <v>4</v>
      </c>
      <c r="L2" s="220" t="s">
        <v>4</v>
      </c>
      <c r="M2" s="220" t="s">
        <v>4</v>
      </c>
      <c r="N2" s="220" t="s">
        <v>4</v>
      </c>
    </row>
    <row r="3" spans="3:15" ht="12.75">
      <c r="C3" s="222">
        <v>41851</v>
      </c>
      <c r="D3" s="221">
        <v>41882</v>
      </c>
      <c r="E3" s="221">
        <v>41912</v>
      </c>
      <c r="F3" s="221">
        <v>41943</v>
      </c>
      <c r="G3" s="221">
        <v>41973</v>
      </c>
      <c r="H3" s="221">
        <v>42004</v>
      </c>
      <c r="I3" s="221">
        <v>42035</v>
      </c>
      <c r="J3" s="221">
        <v>42063</v>
      </c>
      <c r="K3" s="221">
        <v>42094</v>
      </c>
      <c r="L3" s="221">
        <v>42124</v>
      </c>
      <c r="M3" s="221">
        <v>42155</v>
      </c>
      <c r="N3" s="221">
        <v>42185</v>
      </c>
      <c r="O3" s="43"/>
    </row>
    <row r="4" spans="5:13" ht="12.75">
      <c r="E4" s="2"/>
      <c r="F4" s="2"/>
      <c r="H4" s="2"/>
      <c r="I4" s="2"/>
      <c r="J4" s="2"/>
      <c r="K4" s="2"/>
      <c r="L4" s="2"/>
      <c r="M4" s="2"/>
    </row>
    <row r="5" spans="1:14" ht="12.75">
      <c r="A5" s="117" t="s">
        <v>79</v>
      </c>
      <c r="B5" s="154"/>
      <c r="C5" s="196">
        <v>1625577.23</v>
      </c>
      <c r="D5" s="214">
        <v>1633349.23</v>
      </c>
      <c r="E5" s="157">
        <v>1638942.23</v>
      </c>
      <c r="F5" s="2">
        <v>1646554.23</v>
      </c>
      <c r="G5" s="158">
        <v>1643844.23</v>
      </c>
      <c r="H5" s="158">
        <v>1657700.33</v>
      </c>
      <c r="I5" s="158">
        <v>1660391.33</v>
      </c>
      <c r="J5" s="238">
        <v>1661496.33</v>
      </c>
      <c r="K5" s="158">
        <v>1660821.33</v>
      </c>
      <c r="L5" s="158">
        <v>1664749.33</v>
      </c>
      <c r="M5" s="158">
        <v>1674832.33</v>
      </c>
      <c r="N5" s="158">
        <v>1674509.33</v>
      </c>
    </row>
    <row r="6" spans="1:14" ht="12.75">
      <c r="A6" s="117" t="s">
        <v>80</v>
      </c>
      <c r="B6" s="154"/>
      <c r="C6" s="196">
        <v>1720857.02</v>
      </c>
      <c r="D6" s="214">
        <v>1728378.02</v>
      </c>
      <c r="E6" s="157">
        <v>1738545.02</v>
      </c>
      <c r="F6" s="2">
        <v>1772451.73</v>
      </c>
      <c r="G6" s="158">
        <v>1797354.73</v>
      </c>
      <c r="H6" s="158">
        <v>1816165.74</v>
      </c>
      <c r="I6" s="158">
        <v>1847420.04</v>
      </c>
      <c r="J6" s="238">
        <v>1852306.94</v>
      </c>
      <c r="K6" s="158">
        <v>1876568.34</v>
      </c>
      <c r="L6" s="158">
        <v>1924614.53</v>
      </c>
      <c r="M6" s="158">
        <v>1948838.53</v>
      </c>
      <c r="N6" s="158">
        <v>2006250.53</v>
      </c>
    </row>
    <row r="7" spans="1:14" ht="12.75">
      <c r="A7" s="118" t="s">
        <v>61</v>
      </c>
      <c r="B7" s="154"/>
      <c r="C7" s="156"/>
      <c r="D7" s="156"/>
      <c r="E7" s="159"/>
      <c r="F7" s="2"/>
      <c r="G7" s="23"/>
      <c r="H7" s="23"/>
      <c r="I7" s="23"/>
      <c r="J7" s="23"/>
      <c r="K7" s="23"/>
      <c r="L7" s="23"/>
      <c r="M7" s="23"/>
      <c r="N7" s="23"/>
    </row>
    <row r="8" spans="1:14" ht="12.75">
      <c r="A8" s="118" t="s">
        <v>62</v>
      </c>
      <c r="B8" s="154"/>
      <c r="C8" s="156">
        <v>121840</v>
      </c>
      <c r="D8" s="214">
        <v>121840</v>
      </c>
      <c r="E8" s="159">
        <v>126860</v>
      </c>
      <c r="F8" s="2">
        <v>124670</v>
      </c>
      <c r="G8" s="23">
        <v>134710</v>
      </c>
      <c r="H8" s="23">
        <v>137380</v>
      </c>
      <c r="I8" s="23">
        <v>142400</v>
      </c>
      <c r="J8" s="23">
        <v>154950</v>
      </c>
      <c r="K8" s="23">
        <v>159970</v>
      </c>
      <c r="L8" s="23">
        <v>159810</v>
      </c>
      <c r="M8" s="23">
        <v>154950</v>
      </c>
      <c r="N8" s="23">
        <v>150740</v>
      </c>
    </row>
    <row r="9" spans="1:14" ht="12.75">
      <c r="A9" s="118" t="s">
        <v>208</v>
      </c>
      <c r="B9" s="154"/>
      <c r="C9" s="156">
        <v>0</v>
      </c>
      <c r="D9" s="214"/>
      <c r="E9" s="157"/>
      <c r="F9" s="2"/>
      <c r="G9" s="23"/>
      <c r="H9" s="23"/>
      <c r="I9" s="23"/>
      <c r="J9" s="23"/>
      <c r="K9" s="23"/>
      <c r="L9" s="23"/>
      <c r="M9" s="23"/>
      <c r="N9" s="23"/>
    </row>
    <row r="10" spans="1:14" ht="12.75">
      <c r="A10" s="118" t="s">
        <v>63</v>
      </c>
      <c r="B10" s="154"/>
      <c r="C10" s="156">
        <v>3290</v>
      </c>
      <c r="D10" s="214">
        <v>2350</v>
      </c>
      <c r="E10" s="157">
        <v>4700</v>
      </c>
      <c r="F10" s="2">
        <v>4230</v>
      </c>
      <c r="G10" s="23">
        <v>2820</v>
      </c>
      <c r="H10" s="23">
        <v>2350</v>
      </c>
      <c r="I10" s="23">
        <v>2350</v>
      </c>
      <c r="J10" s="23">
        <v>5640</v>
      </c>
      <c r="K10" s="23">
        <v>5437</v>
      </c>
      <c r="L10" s="23">
        <v>3354</v>
      </c>
      <c r="M10" s="23">
        <v>2350</v>
      </c>
      <c r="N10" s="23">
        <v>1116</v>
      </c>
    </row>
    <row r="11" spans="1:14" ht="12.75">
      <c r="A11" s="118" t="s">
        <v>64</v>
      </c>
      <c r="B11" s="154"/>
      <c r="C11" s="156">
        <v>1040</v>
      </c>
      <c r="D11" s="214">
        <v>770</v>
      </c>
      <c r="E11" s="159">
        <v>1040</v>
      </c>
      <c r="F11" s="2">
        <v>750</v>
      </c>
      <c r="G11" s="23">
        <v>750</v>
      </c>
      <c r="H11" s="23">
        <v>500</v>
      </c>
      <c r="I11" s="23">
        <v>500</v>
      </c>
      <c r="J11" s="23">
        <v>767</v>
      </c>
      <c r="K11" s="23">
        <v>767</v>
      </c>
      <c r="L11" s="23">
        <v>500</v>
      </c>
      <c r="M11" s="23">
        <v>1034</v>
      </c>
      <c r="N11" s="23">
        <v>712</v>
      </c>
    </row>
    <row r="12" spans="1:14" ht="12.75">
      <c r="A12" s="118" t="s">
        <v>65</v>
      </c>
      <c r="B12" s="154"/>
      <c r="C12" s="156">
        <v>9100</v>
      </c>
      <c r="D12" s="214">
        <v>12100</v>
      </c>
      <c r="E12" s="159">
        <v>10500</v>
      </c>
      <c r="F12" s="2">
        <v>12100</v>
      </c>
      <c r="G12" s="23">
        <v>9200</v>
      </c>
      <c r="H12" s="23">
        <v>6000</v>
      </c>
      <c r="I12" s="23">
        <v>5520</v>
      </c>
      <c r="J12" s="23">
        <v>8400</v>
      </c>
      <c r="K12" s="23">
        <v>8400</v>
      </c>
      <c r="L12" s="23">
        <v>7600</v>
      </c>
      <c r="M12" s="23">
        <v>7600</v>
      </c>
      <c r="N12" s="23">
        <v>1500</v>
      </c>
    </row>
    <row r="13" spans="1:14" ht="12.75">
      <c r="A13" s="118" t="s">
        <v>66</v>
      </c>
      <c r="B13" s="154"/>
      <c r="C13" s="156">
        <v>8490</v>
      </c>
      <c r="D13" s="214">
        <v>6290</v>
      </c>
      <c r="E13" s="159">
        <v>6700</v>
      </c>
      <c r="F13" s="2">
        <v>8200</v>
      </c>
      <c r="G13" s="23">
        <v>6350</v>
      </c>
      <c r="H13" s="23">
        <v>6380</v>
      </c>
      <c r="I13" s="23">
        <v>5500</v>
      </c>
      <c r="J13" s="23">
        <v>6440</v>
      </c>
      <c r="K13" s="23">
        <v>8000</v>
      </c>
      <c r="L13" s="23">
        <v>8870</v>
      </c>
      <c r="M13" s="23">
        <v>8470</v>
      </c>
      <c r="N13" s="23">
        <v>6150</v>
      </c>
    </row>
    <row r="14" spans="1:14" ht="12.75">
      <c r="A14" s="118" t="s">
        <v>67</v>
      </c>
      <c r="B14" s="154"/>
      <c r="C14" s="156">
        <v>1317</v>
      </c>
      <c r="D14" s="214">
        <v>1334</v>
      </c>
      <c r="E14" s="159">
        <v>3203</v>
      </c>
      <c r="F14" s="2">
        <v>3737</v>
      </c>
      <c r="G14" s="23">
        <v>3203</v>
      </c>
      <c r="H14" s="23">
        <v>1635</v>
      </c>
      <c r="I14" s="23">
        <v>2169</v>
      </c>
      <c r="J14" s="23">
        <v>2169</v>
      </c>
      <c r="K14" s="23">
        <v>2970</v>
      </c>
      <c r="L14" s="23">
        <v>3771</v>
      </c>
      <c r="M14" s="23">
        <v>4305</v>
      </c>
      <c r="N14" s="23">
        <v>2937</v>
      </c>
    </row>
    <row r="15" spans="1:14" ht="12.75">
      <c r="A15" s="118" t="s">
        <v>68</v>
      </c>
      <c r="B15" s="154"/>
      <c r="C15" s="156">
        <v>100</v>
      </c>
      <c r="D15" s="214">
        <v>100</v>
      </c>
      <c r="E15" s="159">
        <v>100</v>
      </c>
      <c r="F15" s="2">
        <v>100</v>
      </c>
      <c r="G15" s="23">
        <v>100</v>
      </c>
      <c r="H15" s="23">
        <v>100</v>
      </c>
      <c r="I15" s="23">
        <v>100</v>
      </c>
      <c r="J15" s="23">
        <v>100</v>
      </c>
      <c r="K15" s="23">
        <v>100</v>
      </c>
      <c r="L15" s="23">
        <v>100</v>
      </c>
      <c r="M15" s="23">
        <v>100</v>
      </c>
      <c r="N15" s="23">
        <v>100</v>
      </c>
    </row>
    <row r="16" spans="1:14" ht="12.75">
      <c r="A16" s="118" t="s">
        <v>69</v>
      </c>
      <c r="B16" s="154"/>
      <c r="C16" s="156">
        <v>94886.12</v>
      </c>
      <c r="D16" s="214">
        <v>94886</v>
      </c>
      <c r="E16" s="159">
        <v>94886.12</v>
      </c>
      <c r="F16" s="2">
        <v>94886.12</v>
      </c>
      <c r="G16" s="23">
        <v>94886.12</v>
      </c>
      <c r="H16" s="23">
        <v>94886.12</v>
      </c>
      <c r="I16" s="23">
        <v>95486.12</v>
      </c>
      <c r="J16" s="23">
        <v>95486.12</v>
      </c>
      <c r="K16" s="23">
        <v>96336.12</v>
      </c>
      <c r="L16" s="23">
        <v>97236.12</v>
      </c>
      <c r="M16" s="23">
        <v>97236.12</v>
      </c>
      <c r="N16" s="23">
        <v>97236.12</v>
      </c>
    </row>
    <row r="17" spans="1:14" ht="12.75">
      <c r="A17" s="118" t="s">
        <v>70</v>
      </c>
      <c r="B17" s="154"/>
      <c r="C17" s="156">
        <v>5930</v>
      </c>
      <c r="D17" s="214">
        <v>5930</v>
      </c>
      <c r="E17" s="156">
        <v>5930</v>
      </c>
      <c r="F17" s="2">
        <v>5930</v>
      </c>
      <c r="G17" s="23">
        <v>5930</v>
      </c>
      <c r="H17" s="23">
        <v>5930</v>
      </c>
      <c r="I17" s="23">
        <v>5930</v>
      </c>
      <c r="J17" s="23">
        <v>5930</v>
      </c>
      <c r="K17" s="23">
        <v>5930</v>
      </c>
      <c r="L17" s="23">
        <v>5930</v>
      </c>
      <c r="M17" s="23">
        <v>5930</v>
      </c>
      <c r="N17" s="23">
        <v>5930</v>
      </c>
    </row>
    <row r="18" spans="1:14" ht="12.75">
      <c r="A18" s="118" t="s">
        <v>106</v>
      </c>
      <c r="B18" s="154"/>
      <c r="C18" s="156">
        <v>5530</v>
      </c>
      <c r="D18" s="214">
        <v>5530</v>
      </c>
      <c r="E18" s="156">
        <v>5530</v>
      </c>
      <c r="F18" s="2">
        <v>5530</v>
      </c>
      <c r="G18" s="23">
        <v>5530</v>
      </c>
      <c r="H18" s="23">
        <v>5530</v>
      </c>
      <c r="I18" s="23">
        <v>5530</v>
      </c>
      <c r="J18" s="23">
        <v>5530</v>
      </c>
      <c r="K18" s="23">
        <v>4200</v>
      </c>
      <c r="L18" s="23">
        <v>4200</v>
      </c>
      <c r="M18" s="23">
        <v>4200</v>
      </c>
      <c r="N18" s="23">
        <v>4200</v>
      </c>
    </row>
    <row r="19" spans="1:14" ht="12.75">
      <c r="A19" s="118" t="s">
        <v>71</v>
      </c>
      <c r="B19" s="154"/>
      <c r="C19" s="156"/>
      <c r="D19" s="214"/>
      <c r="E19" s="159"/>
      <c r="F19" s="2"/>
      <c r="G19" s="23"/>
      <c r="H19" s="23"/>
      <c r="I19" s="23"/>
      <c r="J19" s="23"/>
      <c r="K19" s="23"/>
      <c r="L19" s="23"/>
      <c r="M19" s="23"/>
      <c r="N19" s="23"/>
    </row>
    <row r="20" spans="1:14" ht="12.75">
      <c r="A20" s="118" t="s">
        <v>72</v>
      </c>
      <c r="B20" s="154"/>
      <c r="C20" s="156"/>
      <c r="D20" s="214"/>
      <c r="E20" s="156"/>
      <c r="F20" s="2"/>
      <c r="G20" s="23"/>
      <c r="H20" s="23"/>
      <c r="I20" s="23"/>
      <c r="J20" s="23"/>
      <c r="K20" s="23"/>
      <c r="L20" s="23"/>
      <c r="M20" s="23"/>
      <c r="N20" s="23"/>
    </row>
    <row r="21" spans="1:14" ht="12.75">
      <c r="A21" s="118" t="s">
        <v>73</v>
      </c>
      <c r="B21" s="154"/>
      <c r="C21" s="156">
        <v>0</v>
      </c>
      <c r="D21" s="214"/>
      <c r="E21" s="159">
        <v>775</v>
      </c>
      <c r="F21" s="2">
        <v>775</v>
      </c>
      <c r="G21" s="23">
        <v>775</v>
      </c>
      <c r="H21" s="23">
        <v>6795</v>
      </c>
      <c r="I21" s="23">
        <v>6795</v>
      </c>
      <c r="J21" s="23">
        <v>775</v>
      </c>
      <c r="K21" s="23">
        <v>775</v>
      </c>
      <c r="L21" s="23">
        <v>775</v>
      </c>
      <c r="M21" s="23">
        <v>15775</v>
      </c>
      <c r="N21" s="23">
        <v>15775</v>
      </c>
    </row>
    <row r="22" spans="1:14" ht="12.75">
      <c r="A22" s="118" t="s">
        <v>74</v>
      </c>
      <c r="B22" s="154"/>
      <c r="C22" s="156">
        <v>145068.24</v>
      </c>
      <c r="D22" s="214">
        <v>145740.24</v>
      </c>
      <c r="E22" s="159">
        <v>145852.24</v>
      </c>
      <c r="F22" s="2">
        <v>148188.24</v>
      </c>
      <c r="G22" s="23">
        <v>149416.24</v>
      </c>
      <c r="H22" s="23">
        <v>149716.24</v>
      </c>
      <c r="I22" s="23">
        <v>150592.24</v>
      </c>
      <c r="J22" s="23">
        <v>152103.64</v>
      </c>
      <c r="K22" s="23">
        <v>152103.64</v>
      </c>
      <c r="L22" s="23">
        <v>152103.64</v>
      </c>
      <c r="M22" s="23">
        <v>152103.64</v>
      </c>
      <c r="N22" s="23">
        <v>154700.64</v>
      </c>
    </row>
    <row r="23" spans="1:14" ht="12.75">
      <c r="A23" s="118" t="s">
        <v>75</v>
      </c>
      <c r="B23" s="154"/>
      <c r="C23" s="156">
        <v>77677.7</v>
      </c>
      <c r="D23" s="214">
        <v>77677.7</v>
      </c>
      <c r="E23" s="159">
        <v>77677.7</v>
      </c>
      <c r="F23" s="2">
        <v>77677.7</v>
      </c>
      <c r="G23" s="23">
        <v>77677.7</v>
      </c>
      <c r="H23" s="23">
        <v>77677.7</v>
      </c>
      <c r="I23" s="23">
        <v>77677.7</v>
      </c>
      <c r="J23" s="23">
        <v>77677.7</v>
      </c>
      <c r="K23" s="23">
        <v>77677.7</v>
      </c>
      <c r="L23" s="23">
        <v>77677.7</v>
      </c>
      <c r="M23" s="23">
        <v>77677.7</v>
      </c>
      <c r="N23" s="23">
        <v>77677.7</v>
      </c>
    </row>
    <row r="24" spans="1:14" ht="12.75">
      <c r="A24" s="118" t="s">
        <v>76</v>
      </c>
      <c r="B24" s="154"/>
      <c r="C24" s="156">
        <v>2160</v>
      </c>
      <c r="D24" s="214">
        <v>2160</v>
      </c>
      <c r="E24" s="159">
        <v>8450</v>
      </c>
      <c r="F24" s="2">
        <v>11640</v>
      </c>
      <c r="G24" s="23">
        <v>5065</v>
      </c>
      <c r="H24" s="23">
        <v>3900</v>
      </c>
      <c r="I24" s="23">
        <v>5350</v>
      </c>
      <c r="J24" s="23">
        <v>6800</v>
      </c>
      <c r="K24" s="23">
        <v>6510</v>
      </c>
      <c r="L24" s="23">
        <v>4480</v>
      </c>
      <c r="M24" s="23">
        <v>4770</v>
      </c>
      <c r="N24" s="23">
        <v>5650</v>
      </c>
    </row>
    <row r="25" spans="1:14" ht="12.75">
      <c r="A25" s="118" t="s">
        <v>77</v>
      </c>
      <c r="B25" s="154"/>
      <c r="C25" s="156">
        <v>3485</v>
      </c>
      <c r="D25" s="214">
        <v>4375</v>
      </c>
      <c r="E25" s="159">
        <v>4585</v>
      </c>
      <c r="F25" s="2">
        <v>3615</v>
      </c>
      <c r="G25" s="23">
        <v>10435</v>
      </c>
      <c r="H25" s="23">
        <v>6810</v>
      </c>
      <c r="I25" s="23">
        <v>8550</v>
      </c>
      <c r="J25" s="23">
        <v>7260</v>
      </c>
      <c r="K25" s="23">
        <v>8850</v>
      </c>
      <c r="L25" s="23">
        <v>6240</v>
      </c>
      <c r="M25" s="23">
        <v>7110</v>
      </c>
      <c r="N25" s="23">
        <v>6530</v>
      </c>
    </row>
    <row r="26" spans="1:14" ht="12.75">
      <c r="A26" s="118" t="s">
        <v>78</v>
      </c>
      <c r="B26" s="154"/>
      <c r="D26" s="215"/>
      <c r="E26" s="23"/>
      <c r="F26" s="23"/>
      <c r="H26" s="23">
        <v>1315</v>
      </c>
      <c r="I26" s="23">
        <v>1315</v>
      </c>
      <c r="J26" s="23">
        <v>1315</v>
      </c>
      <c r="K26" s="23">
        <v>3055</v>
      </c>
      <c r="L26" s="23">
        <v>3055</v>
      </c>
      <c r="M26" s="23">
        <v>5815</v>
      </c>
      <c r="N26" s="23">
        <v>8145</v>
      </c>
    </row>
    <row r="27" spans="1:14" ht="12.75">
      <c r="A27" s="4"/>
      <c r="C27" s="229">
        <v>2379</v>
      </c>
      <c r="D27" s="229">
        <v>1829</v>
      </c>
      <c r="E27" s="230">
        <v>1829</v>
      </c>
      <c r="F27" s="230">
        <v>3609</v>
      </c>
      <c r="G27" s="229">
        <v>3469</v>
      </c>
      <c r="H27" s="23">
        <v>1069</v>
      </c>
      <c r="I27" s="230">
        <v>3529</v>
      </c>
      <c r="J27" s="230">
        <v>2929</v>
      </c>
      <c r="K27" s="230">
        <v>4729</v>
      </c>
      <c r="L27" s="230">
        <v>4729</v>
      </c>
      <c r="M27" s="230">
        <v>5329</v>
      </c>
      <c r="N27" s="230">
        <v>4859</v>
      </c>
    </row>
    <row r="28" spans="1:14" ht="12.75">
      <c r="A28" s="4"/>
      <c r="E28" s="158"/>
      <c r="F28" s="158"/>
      <c r="H28" s="158"/>
      <c r="I28" s="158"/>
      <c r="J28" s="158"/>
      <c r="K28" s="158"/>
      <c r="L28" s="158"/>
      <c r="M28" s="158"/>
      <c r="N28" s="158"/>
    </row>
    <row r="29" spans="1:14" ht="12.75" customHeight="1" thickBot="1">
      <c r="A29" s="22"/>
      <c r="C29" s="228">
        <f>SUM(C5:C27)</f>
        <v>3828727.3100000005</v>
      </c>
      <c r="D29" s="228">
        <f>SUM(D5:D27)</f>
        <v>3844639.1900000004</v>
      </c>
      <c r="E29" s="228">
        <f>SUM(E5:E27)</f>
        <v>3876105.3100000005</v>
      </c>
      <c r="F29" s="228">
        <f>SUM(F5:F27)</f>
        <v>3924644.0200000005</v>
      </c>
      <c r="G29" s="228">
        <f aca="true" t="shared" si="0" ref="G29:N29">SUM(G5:G27)</f>
        <v>3951516.0200000005</v>
      </c>
      <c r="H29" s="228">
        <f t="shared" si="0"/>
        <v>3981840.130000001</v>
      </c>
      <c r="I29" s="228">
        <f t="shared" si="0"/>
        <v>4027105.4300000006</v>
      </c>
      <c r="J29" s="228">
        <f t="shared" si="0"/>
        <v>4048075.7300000004</v>
      </c>
      <c r="K29" s="228">
        <f t="shared" si="0"/>
        <v>4083200.1300000004</v>
      </c>
      <c r="L29" s="228">
        <f t="shared" si="0"/>
        <v>4129795.3200000008</v>
      </c>
      <c r="M29" s="228">
        <f t="shared" si="0"/>
        <v>4178426.3200000008</v>
      </c>
      <c r="N29" s="228">
        <f t="shared" si="0"/>
        <v>4224718.32</v>
      </c>
    </row>
    <row r="30" ht="13.5" thickTop="1"/>
    <row r="34" spans="3:14" ht="12.75">
      <c r="C34" s="7" t="s">
        <v>4</v>
      </c>
      <c r="D34" s="219" t="s">
        <v>4</v>
      </c>
      <c r="E34" s="219" t="s">
        <v>4</v>
      </c>
      <c r="F34" s="219" t="s">
        <v>4</v>
      </c>
      <c r="G34" s="219" t="s">
        <v>4</v>
      </c>
      <c r="H34" s="219" t="s">
        <v>4</v>
      </c>
      <c r="I34" s="7" t="s">
        <v>4</v>
      </c>
      <c r="J34" s="220" t="s">
        <v>4</v>
      </c>
      <c r="K34" s="220" t="s">
        <v>4</v>
      </c>
      <c r="L34" s="220" t="s">
        <v>4</v>
      </c>
      <c r="M34" s="220" t="s">
        <v>4</v>
      </c>
      <c r="N34" s="220" t="s">
        <v>4</v>
      </c>
    </row>
    <row r="35" spans="3:15" ht="12.75">
      <c r="C35" s="222">
        <v>42216</v>
      </c>
      <c r="D35" s="222">
        <v>42247</v>
      </c>
      <c r="E35" s="222">
        <v>42277</v>
      </c>
      <c r="F35" s="222">
        <v>42308</v>
      </c>
      <c r="G35" s="222">
        <v>42338</v>
      </c>
      <c r="H35" s="222">
        <v>42369</v>
      </c>
      <c r="I35" s="222">
        <v>42400</v>
      </c>
      <c r="J35" s="222">
        <v>42429</v>
      </c>
      <c r="K35" s="222">
        <v>42460</v>
      </c>
      <c r="L35" s="222">
        <v>42490</v>
      </c>
      <c r="M35" s="222">
        <v>42521</v>
      </c>
      <c r="N35" s="222">
        <v>42551</v>
      </c>
      <c r="O35" s="43"/>
    </row>
    <row r="36" spans="5:13" ht="12.75">
      <c r="E36" s="2"/>
      <c r="F36" s="2"/>
      <c r="H36" s="2"/>
      <c r="I36" s="2"/>
      <c r="J36" s="2"/>
      <c r="K36" s="2"/>
      <c r="L36" s="2"/>
      <c r="M36" s="2"/>
    </row>
    <row r="37" spans="1:14" ht="12.75">
      <c r="A37" s="117" t="s">
        <v>79</v>
      </c>
      <c r="B37" s="154"/>
      <c r="C37" s="196">
        <v>1689257.33</v>
      </c>
      <c r="D37" s="214">
        <v>1700049.33</v>
      </c>
      <c r="E37" s="247">
        <v>1708368.33</v>
      </c>
      <c r="F37" s="2">
        <v>1719484.33</v>
      </c>
      <c r="G37" s="158">
        <v>1734380.33</v>
      </c>
      <c r="H37" s="158">
        <v>1742190.33</v>
      </c>
      <c r="I37" s="158">
        <v>1755096.02</v>
      </c>
      <c r="J37" s="238">
        <v>1758719.02</v>
      </c>
      <c r="K37" s="158">
        <v>1771968.02</v>
      </c>
      <c r="L37" s="158">
        <v>1780830.02</v>
      </c>
      <c r="M37" s="158">
        <v>1791689.02</v>
      </c>
      <c r="N37" s="158">
        <v>1804151.02</v>
      </c>
    </row>
    <row r="38" spans="1:14" ht="12.75">
      <c r="A38" s="117" t="s">
        <v>80</v>
      </c>
      <c r="B38" s="154"/>
      <c r="C38" s="196">
        <v>2034405.53</v>
      </c>
      <c r="D38" s="214">
        <v>2049949.37</v>
      </c>
      <c r="E38" s="247">
        <v>2055728.82</v>
      </c>
      <c r="F38" s="2">
        <v>2065196.82</v>
      </c>
      <c r="G38" s="158">
        <v>2072005.3</v>
      </c>
      <c r="H38" s="158">
        <v>2079625.3</v>
      </c>
      <c r="I38" s="158">
        <v>2086017.3</v>
      </c>
      <c r="J38" s="238">
        <v>2112428.3</v>
      </c>
      <c r="K38" s="158">
        <v>2123338.3</v>
      </c>
      <c r="L38" s="158">
        <v>2126531.3</v>
      </c>
      <c r="M38" s="158">
        <v>2132958.95</v>
      </c>
      <c r="N38" s="158">
        <v>2241949.95</v>
      </c>
    </row>
    <row r="39" spans="1:14" ht="12.75">
      <c r="A39" s="118" t="s">
        <v>61</v>
      </c>
      <c r="B39" s="154"/>
      <c r="C39" s="241">
        <v>700</v>
      </c>
      <c r="D39" s="156">
        <v>700</v>
      </c>
      <c r="E39" s="248">
        <v>1400</v>
      </c>
      <c r="F39" s="2">
        <v>900</v>
      </c>
      <c r="G39" s="23">
        <v>900</v>
      </c>
      <c r="H39" s="23">
        <v>900</v>
      </c>
      <c r="I39" s="23">
        <v>900</v>
      </c>
      <c r="J39" s="23">
        <v>900</v>
      </c>
      <c r="K39" s="23">
        <v>900</v>
      </c>
      <c r="L39" s="23">
        <v>900</v>
      </c>
      <c r="M39" s="23">
        <v>1400</v>
      </c>
      <c r="N39" s="23">
        <v>0</v>
      </c>
    </row>
    <row r="40" spans="1:14" ht="12.75">
      <c r="A40" s="118" t="s">
        <v>62</v>
      </c>
      <c r="B40" s="154"/>
      <c r="C40" s="241">
        <v>151920</v>
      </c>
      <c r="D40" s="214">
        <v>150020</v>
      </c>
      <c r="E40" s="248">
        <v>147960</v>
      </c>
      <c r="F40" s="2">
        <v>145450</v>
      </c>
      <c r="G40" s="23">
        <v>153820</v>
      </c>
      <c r="H40" s="23">
        <v>153820</v>
      </c>
      <c r="I40" s="23">
        <v>161860</v>
      </c>
      <c r="J40" s="23">
        <v>161860</v>
      </c>
      <c r="K40" s="23">
        <v>162030</v>
      </c>
      <c r="L40" s="23">
        <v>154330</v>
      </c>
      <c r="M40" s="23">
        <v>154500</v>
      </c>
      <c r="N40" s="23">
        <v>156760</v>
      </c>
    </row>
    <row r="41" spans="1:14" ht="12.75">
      <c r="A41" s="118" t="s">
        <v>208</v>
      </c>
      <c r="B41" s="154"/>
      <c r="C41" s="241">
        <v>0</v>
      </c>
      <c r="D41" s="214"/>
      <c r="E41" s="247"/>
      <c r="F41" s="2"/>
      <c r="G41" s="23"/>
      <c r="H41" s="23"/>
      <c r="I41" s="23"/>
      <c r="J41" s="23"/>
      <c r="K41" s="23"/>
      <c r="L41" s="23"/>
      <c r="M41" s="23"/>
      <c r="N41" s="23"/>
    </row>
    <row r="42" spans="1:14" ht="12.75">
      <c r="A42" s="118" t="s">
        <v>63</v>
      </c>
      <c r="B42" s="154"/>
      <c r="C42" s="241">
        <v>1676</v>
      </c>
      <c r="D42" s="214">
        <v>4210</v>
      </c>
      <c r="E42" s="247">
        <v>2706</v>
      </c>
      <c r="F42" s="2">
        <v>2206</v>
      </c>
      <c r="G42" s="23">
        <v>2706</v>
      </c>
      <c r="H42" s="23">
        <v>706</v>
      </c>
      <c r="I42" s="23">
        <v>1206</v>
      </c>
      <c r="J42" s="23">
        <v>939</v>
      </c>
      <c r="K42" s="23">
        <v>2206</v>
      </c>
      <c r="L42" s="23">
        <v>676</v>
      </c>
      <c r="M42" s="23">
        <v>676</v>
      </c>
      <c r="N42" s="23">
        <v>0</v>
      </c>
    </row>
    <row r="43" spans="1:14" ht="12.75">
      <c r="A43" s="118" t="s">
        <v>64</v>
      </c>
      <c r="B43" s="154"/>
      <c r="C43" s="241">
        <v>178</v>
      </c>
      <c r="D43" s="214">
        <v>463</v>
      </c>
      <c r="E43" s="248">
        <v>747</v>
      </c>
      <c r="F43" s="2">
        <v>462</v>
      </c>
      <c r="G43" s="23">
        <v>462</v>
      </c>
      <c r="H43" s="23">
        <v>462</v>
      </c>
      <c r="I43" s="23">
        <v>462</v>
      </c>
      <c r="J43" s="23">
        <v>1887</v>
      </c>
      <c r="K43" s="23">
        <v>765</v>
      </c>
      <c r="L43" s="23">
        <v>1050</v>
      </c>
      <c r="M43" s="23">
        <v>1620</v>
      </c>
      <c r="N43" s="23">
        <v>285</v>
      </c>
    </row>
    <row r="44" spans="1:14" ht="12.75">
      <c r="A44" s="118" t="s">
        <v>65</v>
      </c>
      <c r="B44" s="154"/>
      <c r="C44" s="241">
        <v>6920</v>
      </c>
      <c r="D44" s="214">
        <v>5420</v>
      </c>
      <c r="E44" s="248">
        <v>7120</v>
      </c>
      <c r="F44" s="2">
        <v>8500.05</v>
      </c>
      <c r="G44" s="23">
        <v>3400</v>
      </c>
      <c r="H44" s="23">
        <v>3400</v>
      </c>
      <c r="I44" s="23">
        <v>3400</v>
      </c>
      <c r="J44" s="23">
        <v>5100</v>
      </c>
      <c r="K44" s="23">
        <v>5100</v>
      </c>
      <c r="L44" s="23">
        <v>1700</v>
      </c>
      <c r="M44" s="23">
        <v>1000</v>
      </c>
      <c r="N44" s="23">
        <v>1000</v>
      </c>
    </row>
    <row r="45" spans="1:14" ht="12.75">
      <c r="A45" s="118" t="s">
        <v>66</v>
      </c>
      <c r="B45" s="154"/>
      <c r="C45" s="241">
        <v>5210</v>
      </c>
      <c r="D45" s="214">
        <v>5740</v>
      </c>
      <c r="E45" s="248">
        <v>6950</v>
      </c>
      <c r="F45" s="2">
        <v>7980</v>
      </c>
      <c r="G45" s="23">
        <v>7420</v>
      </c>
      <c r="H45" s="23">
        <v>8450</v>
      </c>
      <c r="I45" s="23">
        <v>7950</v>
      </c>
      <c r="J45" s="23">
        <v>7920</v>
      </c>
      <c r="K45" s="23">
        <v>8980</v>
      </c>
      <c r="L45" s="23">
        <v>8980</v>
      </c>
      <c r="M45" s="23">
        <v>9480</v>
      </c>
      <c r="N45" s="23">
        <v>2330</v>
      </c>
    </row>
    <row r="46" spans="1:14" ht="12.75">
      <c r="A46" s="118" t="s">
        <v>67</v>
      </c>
      <c r="B46" s="154"/>
      <c r="C46" s="241">
        <v>3258</v>
      </c>
      <c r="D46" s="214">
        <v>3882</v>
      </c>
      <c r="E46" s="248">
        <v>4167</v>
      </c>
      <c r="F46" s="2">
        <v>3045</v>
      </c>
      <c r="G46" s="23">
        <v>3063</v>
      </c>
      <c r="H46" s="23">
        <v>2850</v>
      </c>
      <c r="I46" s="23">
        <v>3420</v>
      </c>
      <c r="J46" s="23">
        <v>1910</v>
      </c>
      <c r="K46" s="23">
        <v>2480</v>
      </c>
      <c r="L46" s="23">
        <v>3050</v>
      </c>
      <c r="M46" s="23">
        <v>2280</v>
      </c>
      <c r="N46" s="23">
        <v>2850</v>
      </c>
    </row>
    <row r="47" spans="1:14" ht="12.75">
      <c r="A47" s="118" t="s">
        <v>68</v>
      </c>
      <c r="B47" s="154"/>
      <c r="C47" s="241">
        <v>100</v>
      </c>
      <c r="D47" s="214"/>
      <c r="E47" s="248"/>
      <c r="F47" s="2"/>
      <c r="G47" s="23"/>
      <c r="H47" s="23"/>
      <c r="I47" s="23"/>
      <c r="J47" s="23"/>
      <c r="K47" s="23"/>
      <c r="L47" s="23"/>
      <c r="M47" s="23"/>
      <c r="N47" s="23"/>
    </row>
    <row r="48" spans="1:14" ht="12.75">
      <c r="A48" s="118" t="s">
        <v>69</v>
      </c>
      <c r="B48" s="154"/>
      <c r="C48" s="241">
        <v>87978.12</v>
      </c>
      <c r="D48" s="214">
        <v>49097</v>
      </c>
      <c r="E48" s="248">
        <v>49097</v>
      </c>
      <c r="F48" s="2">
        <v>49097</v>
      </c>
      <c r="G48" s="23">
        <v>49097</v>
      </c>
      <c r="H48" s="23">
        <v>49097</v>
      </c>
      <c r="I48" s="23">
        <v>49097</v>
      </c>
      <c r="J48" s="23">
        <v>49097</v>
      </c>
      <c r="K48" s="23">
        <v>49097</v>
      </c>
      <c r="L48" s="23">
        <v>49097</v>
      </c>
      <c r="M48" s="23">
        <v>49097</v>
      </c>
      <c r="N48" s="23">
        <v>49097</v>
      </c>
    </row>
    <row r="49" spans="1:14" ht="12.75">
      <c r="A49" s="118" t="s">
        <v>70</v>
      </c>
      <c r="B49" s="154"/>
      <c r="C49" s="241">
        <v>6090</v>
      </c>
      <c r="D49" s="214">
        <v>6090</v>
      </c>
      <c r="E49" s="241">
        <v>6090</v>
      </c>
      <c r="F49" s="2">
        <v>6090</v>
      </c>
      <c r="G49" s="23">
        <v>6090</v>
      </c>
      <c r="H49" s="23">
        <v>6090</v>
      </c>
      <c r="I49" s="23">
        <v>6090</v>
      </c>
      <c r="J49" s="23">
        <v>6090</v>
      </c>
      <c r="K49" s="23">
        <v>6090</v>
      </c>
      <c r="L49" s="23">
        <v>6090</v>
      </c>
      <c r="M49" s="23">
        <v>6090</v>
      </c>
      <c r="N49" s="23">
        <v>6090</v>
      </c>
    </row>
    <row r="50" spans="1:14" ht="12.75">
      <c r="A50" s="118" t="s">
        <v>106</v>
      </c>
      <c r="B50" s="154"/>
      <c r="C50" s="241">
        <v>4200</v>
      </c>
      <c r="D50" s="214">
        <v>5800</v>
      </c>
      <c r="E50" s="241">
        <v>5800</v>
      </c>
      <c r="F50" s="2">
        <v>5800</v>
      </c>
      <c r="G50" s="23">
        <v>5800</v>
      </c>
      <c r="H50" s="23">
        <v>5761.93</v>
      </c>
      <c r="I50" s="23">
        <v>6300</v>
      </c>
      <c r="J50" s="23">
        <v>6300</v>
      </c>
      <c r="K50" s="23">
        <v>6500</v>
      </c>
      <c r="L50" s="23">
        <v>6500</v>
      </c>
      <c r="M50" s="23">
        <v>6500</v>
      </c>
      <c r="N50" s="23">
        <v>6500</v>
      </c>
    </row>
    <row r="51" spans="1:14" ht="12.75">
      <c r="A51" s="118" t="s">
        <v>71</v>
      </c>
      <c r="B51" s="154"/>
      <c r="C51" s="241"/>
      <c r="D51" s="214"/>
      <c r="E51" s="248"/>
      <c r="F51" s="2"/>
      <c r="G51" s="23"/>
      <c r="H51" s="23"/>
      <c r="I51" s="23"/>
      <c r="J51" s="23"/>
      <c r="K51" s="23"/>
      <c r="L51" s="23"/>
      <c r="M51" s="23"/>
      <c r="N51" s="23"/>
    </row>
    <row r="52" spans="1:14" ht="12.75">
      <c r="A52" s="118" t="s">
        <v>72</v>
      </c>
      <c r="B52" s="154"/>
      <c r="C52" s="241"/>
      <c r="D52" s="214"/>
      <c r="E52" s="241"/>
      <c r="F52" s="2"/>
      <c r="G52" s="23"/>
      <c r="H52" s="23"/>
      <c r="I52" s="23"/>
      <c r="J52" s="23"/>
      <c r="K52" s="23"/>
      <c r="L52" s="23"/>
      <c r="M52" s="23"/>
      <c r="N52" s="23"/>
    </row>
    <row r="53" spans="1:14" ht="12.75">
      <c r="A53" s="118" t="s">
        <v>73</v>
      </c>
      <c r="B53" s="154"/>
      <c r="C53" s="241">
        <v>15775</v>
      </c>
      <c r="D53" s="214">
        <v>15775</v>
      </c>
      <c r="E53" s="248">
        <v>15775</v>
      </c>
      <c r="F53" s="2">
        <v>15775</v>
      </c>
      <c r="G53" s="23">
        <v>47857</v>
      </c>
      <c r="H53" s="23">
        <v>47857</v>
      </c>
      <c r="I53" s="23">
        <v>16816</v>
      </c>
      <c r="J53" s="23">
        <v>25578</v>
      </c>
      <c r="K53" s="23">
        <v>25578</v>
      </c>
      <c r="L53" s="23">
        <v>25578</v>
      </c>
      <c r="M53" s="23">
        <v>36721</v>
      </c>
      <c r="N53" s="23">
        <v>36721</v>
      </c>
    </row>
    <row r="54" spans="1:14" ht="12.75">
      <c r="A54" s="118" t="s">
        <v>74</v>
      </c>
      <c r="B54" s="154"/>
      <c r="C54" s="241">
        <v>158124.64</v>
      </c>
      <c r="D54" s="214">
        <v>158460.64</v>
      </c>
      <c r="E54" s="248">
        <v>160986.64</v>
      </c>
      <c r="F54" s="2">
        <v>160986.64</v>
      </c>
      <c r="G54" s="23">
        <v>161706.64</v>
      </c>
      <c r="H54" s="23">
        <v>163122.64</v>
      </c>
      <c r="I54" s="23">
        <v>163547.64</v>
      </c>
      <c r="J54" s="23">
        <v>164977.64</v>
      </c>
      <c r="K54" s="23">
        <v>166647.64</v>
      </c>
      <c r="L54" s="23">
        <v>166777.64</v>
      </c>
      <c r="M54" s="23">
        <v>167622.64</v>
      </c>
      <c r="N54" s="23">
        <v>168242.64</v>
      </c>
    </row>
    <row r="55" spans="1:14" ht="12.75">
      <c r="A55" s="118" t="s">
        <v>75</v>
      </c>
      <c r="B55" s="154"/>
      <c r="C55" s="241">
        <v>77677.7</v>
      </c>
      <c r="D55" s="214">
        <v>77677.7</v>
      </c>
      <c r="E55" s="248">
        <v>77677.7</v>
      </c>
      <c r="F55" s="2">
        <v>77677.7</v>
      </c>
      <c r="G55" s="23">
        <v>77677.7</v>
      </c>
      <c r="H55" s="23">
        <v>77677.7</v>
      </c>
      <c r="I55" s="23">
        <v>77677</v>
      </c>
      <c r="J55" s="23">
        <v>77677.5</v>
      </c>
      <c r="K55" s="23">
        <v>77677.7</v>
      </c>
      <c r="L55" s="23">
        <v>77677.7</v>
      </c>
      <c r="M55" s="23">
        <v>77677.7</v>
      </c>
      <c r="N55" s="23">
        <v>77677.7</v>
      </c>
    </row>
    <row r="56" spans="1:14" ht="12.75">
      <c r="A56" s="118" t="s">
        <v>76</v>
      </c>
      <c r="B56" s="154"/>
      <c r="C56" s="241">
        <v>5080</v>
      </c>
      <c r="D56" s="214">
        <v>8880</v>
      </c>
      <c r="E56" s="248">
        <v>12530</v>
      </c>
      <c r="F56" s="2">
        <v>6630</v>
      </c>
      <c r="G56" s="23">
        <v>6010</v>
      </c>
      <c r="H56" s="23">
        <v>6010</v>
      </c>
      <c r="I56" s="23">
        <v>7250</v>
      </c>
      <c r="J56" s="23">
        <v>6010</v>
      </c>
      <c r="K56" s="23">
        <v>14180</v>
      </c>
      <c r="L56" s="23">
        <v>13540</v>
      </c>
      <c r="M56" s="23">
        <v>6300</v>
      </c>
      <c r="N56" s="23">
        <v>5990</v>
      </c>
    </row>
    <row r="57" spans="1:14" ht="12.75">
      <c r="A57" s="118" t="s">
        <v>77</v>
      </c>
      <c r="B57" s="154"/>
      <c r="C57" s="241">
        <v>7770</v>
      </c>
      <c r="D57" s="214">
        <v>7770</v>
      </c>
      <c r="E57" s="248">
        <v>10740</v>
      </c>
      <c r="F57" s="2">
        <v>9010</v>
      </c>
      <c r="G57" s="23">
        <v>6240</v>
      </c>
      <c r="H57" s="23">
        <v>8100</v>
      </c>
      <c r="I57" s="23">
        <v>12130</v>
      </c>
      <c r="J57" s="23">
        <v>5930</v>
      </c>
      <c r="K57" s="23">
        <v>6550</v>
      </c>
      <c r="L57" s="23">
        <v>10270</v>
      </c>
      <c r="M57" s="23">
        <v>9255.09</v>
      </c>
      <c r="N57" s="23">
        <v>7170</v>
      </c>
    </row>
    <row r="58" spans="1:14" ht="12.75">
      <c r="A58" s="118" t="s">
        <v>78</v>
      </c>
      <c r="B58" s="154"/>
      <c r="C58" s="241">
        <v>4655</v>
      </c>
      <c r="D58" s="215">
        <v>6755</v>
      </c>
      <c r="E58" s="248">
        <v>3055</v>
      </c>
      <c r="F58" s="23">
        <v>3055</v>
      </c>
      <c r="G58" s="2">
        <v>3675</v>
      </c>
      <c r="H58" s="23">
        <v>3015</v>
      </c>
      <c r="I58" s="23">
        <v>2755</v>
      </c>
      <c r="J58" s="23">
        <v>2755</v>
      </c>
      <c r="K58" s="23">
        <v>3255</v>
      </c>
      <c r="L58" s="23">
        <v>3255</v>
      </c>
      <c r="M58" s="23">
        <v>2395</v>
      </c>
      <c r="N58" s="23">
        <v>295</v>
      </c>
    </row>
    <row r="59" spans="1:14" ht="12.75">
      <c r="A59" s="4"/>
      <c r="C59" s="250">
        <v>6209</v>
      </c>
      <c r="D59" s="229">
        <v>8159</v>
      </c>
      <c r="E59" s="234">
        <v>8129</v>
      </c>
      <c r="F59" s="230">
        <v>4879</v>
      </c>
      <c r="G59" s="229">
        <v>4879</v>
      </c>
      <c r="H59" s="234">
        <v>4229</v>
      </c>
      <c r="I59" s="230">
        <v>4229</v>
      </c>
      <c r="J59" s="230">
        <v>6439</v>
      </c>
      <c r="K59" s="230">
        <v>5789</v>
      </c>
      <c r="L59" s="230">
        <v>4649</v>
      </c>
      <c r="M59" s="230">
        <v>5109</v>
      </c>
      <c r="N59" s="230">
        <v>2929</v>
      </c>
    </row>
    <row r="60" spans="1:14" ht="12.75">
      <c r="A60" s="4"/>
      <c r="E60" s="158"/>
      <c r="F60" s="158"/>
      <c r="H60" s="158"/>
      <c r="I60" s="158"/>
      <c r="J60" s="158"/>
      <c r="K60" s="158"/>
      <c r="L60" s="158"/>
      <c r="M60" s="158"/>
      <c r="N60" s="158"/>
    </row>
    <row r="61" spans="1:14" ht="12.75" customHeight="1" thickBot="1">
      <c r="A61" s="22"/>
      <c r="C61" s="228">
        <f>SUM(C37:C59)</f>
        <v>4267184.32</v>
      </c>
      <c r="D61" s="228">
        <f aca="true" t="shared" si="1" ref="D61:N61">SUM(D37:D59)</f>
        <v>4264898.04</v>
      </c>
      <c r="E61" s="228">
        <f t="shared" si="1"/>
        <v>4285027.49</v>
      </c>
      <c r="F61" s="228">
        <f t="shared" si="1"/>
        <v>4292224.54</v>
      </c>
      <c r="G61" s="228">
        <f t="shared" si="1"/>
        <v>4347188.97</v>
      </c>
      <c r="H61" s="228">
        <f t="shared" si="1"/>
        <v>4363363.9</v>
      </c>
      <c r="I61" s="228">
        <f t="shared" si="1"/>
        <v>4366202.96</v>
      </c>
      <c r="J61" s="228">
        <f t="shared" si="1"/>
        <v>4402517.46</v>
      </c>
      <c r="K61" s="228">
        <f t="shared" si="1"/>
        <v>4439131.66</v>
      </c>
      <c r="L61" s="228">
        <f t="shared" si="1"/>
        <v>4441481.66</v>
      </c>
      <c r="M61" s="228">
        <f t="shared" si="1"/>
        <v>4462371.4</v>
      </c>
      <c r="N61" s="228">
        <f t="shared" si="1"/>
        <v>4570038.3100000005</v>
      </c>
    </row>
    <row r="62" ht="13.5" thickTop="1"/>
    <row r="65" spans="3:14" ht="12.75">
      <c r="C65" s="7" t="s">
        <v>4</v>
      </c>
      <c r="D65" s="219" t="s">
        <v>4</v>
      </c>
      <c r="E65" s="219" t="s">
        <v>4</v>
      </c>
      <c r="F65" s="219" t="s">
        <v>4</v>
      </c>
      <c r="G65" s="219" t="s">
        <v>4</v>
      </c>
      <c r="H65" s="219" t="s">
        <v>4</v>
      </c>
      <c r="I65" s="7" t="s">
        <v>4</v>
      </c>
      <c r="J65" s="220" t="s">
        <v>4</v>
      </c>
      <c r="K65" s="220" t="s">
        <v>4</v>
      </c>
      <c r="L65" s="220" t="s">
        <v>4</v>
      </c>
      <c r="M65" s="220" t="s">
        <v>4</v>
      </c>
      <c r="N65" s="220" t="s">
        <v>4</v>
      </c>
    </row>
    <row r="66" spans="3:15" ht="12.75">
      <c r="C66" s="222">
        <v>42582</v>
      </c>
      <c r="D66" s="222">
        <v>42613</v>
      </c>
      <c r="E66" s="222">
        <v>42643</v>
      </c>
      <c r="F66" s="222">
        <v>42674</v>
      </c>
      <c r="G66" s="222">
        <v>42704</v>
      </c>
      <c r="H66" s="222">
        <v>42735</v>
      </c>
      <c r="I66" s="222">
        <v>42766</v>
      </c>
      <c r="J66" s="222">
        <v>42794</v>
      </c>
      <c r="K66" s="222">
        <v>42825</v>
      </c>
      <c r="L66" s="222">
        <v>42855</v>
      </c>
      <c r="M66" s="222">
        <v>42886</v>
      </c>
      <c r="N66" s="222">
        <v>42916</v>
      </c>
      <c r="O66" s="43"/>
    </row>
    <row r="67" spans="5:13" ht="12.75">
      <c r="E67" s="2"/>
      <c r="F67" s="2"/>
      <c r="H67" s="2"/>
      <c r="I67" s="2"/>
      <c r="J67" s="2"/>
      <c r="K67" s="2"/>
      <c r="L67" s="2"/>
      <c r="M67" s="2"/>
    </row>
    <row r="68" spans="1:14" ht="12.75">
      <c r="A68" s="117" t="s">
        <v>79</v>
      </c>
      <c r="B68" s="154"/>
      <c r="C68" s="253">
        <v>1799812.52</v>
      </c>
      <c r="D68" s="214">
        <v>1806626.52</v>
      </c>
      <c r="E68" s="247">
        <v>1812088.69</v>
      </c>
      <c r="F68" s="2">
        <v>1818276.69</v>
      </c>
      <c r="G68" s="158">
        <v>1824941.69</v>
      </c>
      <c r="H68" s="158">
        <v>1838150.69</v>
      </c>
      <c r="I68" s="158">
        <v>1841298.69</v>
      </c>
      <c r="J68" s="238">
        <v>1830802.69</v>
      </c>
      <c r="K68" s="158">
        <v>1849554.69</v>
      </c>
      <c r="L68" s="158">
        <v>1864485.69</v>
      </c>
      <c r="M68" s="158">
        <v>1876342.69</v>
      </c>
      <c r="N68" s="158">
        <v>1679213.37</v>
      </c>
    </row>
    <row r="69" spans="1:14" ht="12.75">
      <c r="A69" s="117" t="s">
        <v>80</v>
      </c>
      <c r="B69" s="154"/>
      <c r="C69" s="253">
        <v>2254168.76</v>
      </c>
      <c r="D69" s="214">
        <v>2274803.76</v>
      </c>
      <c r="E69" s="247">
        <v>2281051.76</v>
      </c>
      <c r="F69" s="2">
        <v>2287265.76</v>
      </c>
      <c r="G69" s="158">
        <v>2288973.76</v>
      </c>
      <c r="H69" s="158">
        <v>2292208.76</v>
      </c>
      <c r="I69" s="158">
        <v>2299909.76</v>
      </c>
      <c r="J69" s="238">
        <v>2305719.76</v>
      </c>
      <c r="K69" s="158">
        <v>2311453.76</v>
      </c>
      <c r="L69" s="158">
        <v>2324053.76</v>
      </c>
      <c r="M69" s="158">
        <v>2319232.76</v>
      </c>
      <c r="N69" s="158">
        <v>1992486.71</v>
      </c>
    </row>
    <row r="70" spans="1:14" ht="12.75">
      <c r="A70" s="118" t="s">
        <v>61</v>
      </c>
      <c r="B70" s="154"/>
      <c r="C70" s="241">
        <v>8000</v>
      </c>
      <c r="D70" s="156">
        <v>4600</v>
      </c>
      <c r="E70" s="248">
        <v>3500</v>
      </c>
      <c r="F70" s="2">
        <v>3500</v>
      </c>
      <c r="G70" s="23">
        <v>500</v>
      </c>
      <c r="H70" s="23">
        <v>500</v>
      </c>
      <c r="I70" s="23">
        <v>500</v>
      </c>
      <c r="J70" s="23">
        <v>1500</v>
      </c>
      <c r="K70" s="23">
        <v>1500</v>
      </c>
      <c r="L70" s="23">
        <v>1500</v>
      </c>
      <c r="M70" s="23">
        <v>1500</v>
      </c>
      <c r="N70" s="23">
        <v>1500</v>
      </c>
    </row>
    <row r="71" spans="1:14" ht="12.75">
      <c r="A71" s="118" t="s">
        <v>62</v>
      </c>
      <c r="B71" s="154"/>
      <c r="C71" s="241">
        <v>158110</v>
      </c>
      <c r="D71" s="214">
        <v>153080</v>
      </c>
      <c r="E71" s="248">
        <v>161630</v>
      </c>
      <c r="F71" s="2">
        <v>165460</v>
      </c>
      <c r="G71" s="23">
        <v>162950</v>
      </c>
      <c r="H71" s="23">
        <v>162950</v>
      </c>
      <c r="I71" s="23">
        <v>165800</v>
      </c>
      <c r="J71" s="23">
        <v>160610</v>
      </c>
      <c r="K71" s="23">
        <v>166810</v>
      </c>
      <c r="L71" s="23">
        <v>173660</v>
      </c>
      <c r="M71" s="23">
        <v>173830</v>
      </c>
      <c r="N71" s="23">
        <v>171150</v>
      </c>
    </row>
    <row r="72" spans="1:14" ht="12.75">
      <c r="A72" s="118" t="s">
        <v>208</v>
      </c>
      <c r="B72" s="154"/>
      <c r="C72" s="241">
        <v>0</v>
      </c>
      <c r="D72" s="214">
        <v>0</v>
      </c>
      <c r="E72" s="247"/>
      <c r="F72" s="2"/>
      <c r="G72" s="23"/>
      <c r="H72" s="23"/>
      <c r="I72" s="23"/>
      <c r="J72" s="23"/>
      <c r="K72" s="23"/>
      <c r="L72" s="23"/>
      <c r="M72" s="23"/>
      <c r="N72" s="23"/>
    </row>
    <row r="73" spans="1:14" ht="12.75">
      <c r="A73" s="118" t="s">
        <v>63</v>
      </c>
      <c r="B73" s="154"/>
      <c r="C73" s="241">
        <v>1200</v>
      </c>
      <c r="D73" s="214">
        <v>1200</v>
      </c>
      <c r="E73" s="247">
        <v>3600</v>
      </c>
      <c r="F73" s="2">
        <v>3000</v>
      </c>
      <c r="G73" s="23">
        <v>1200</v>
      </c>
      <c r="H73" s="23">
        <v>3000</v>
      </c>
      <c r="I73" s="23">
        <v>1200</v>
      </c>
      <c r="J73" s="23">
        <v>1800</v>
      </c>
      <c r="K73" s="23">
        <v>2400</v>
      </c>
      <c r="L73" s="23">
        <v>1800</v>
      </c>
      <c r="M73" s="23">
        <v>1800</v>
      </c>
      <c r="N73" s="23">
        <v>0</v>
      </c>
    </row>
    <row r="74" spans="1:14" ht="12.75">
      <c r="A74" s="118" t="s">
        <v>64</v>
      </c>
      <c r="B74" s="154"/>
      <c r="C74" s="241">
        <v>0</v>
      </c>
      <c r="D74" s="214">
        <v>0</v>
      </c>
      <c r="E74" s="248"/>
      <c r="F74" s="2">
        <v>600</v>
      </c>
      <c r="G74" s="23">
        <v>600</v>
      </c>
      <c r="H74" s="23">
        <v>300</v>
      </c>
      <c r="I74" s="23"/>
      <c r="J74" s="23">
        <v>900</v>
      </c>
      <c r="K74" s="23">
        <v>300</v>
      </c>
      <c r="L74" s="23">
        <v>300</v>
      </c>
      <c r="M74" s="23">
        <v>300</v>
      </c>
      <c r="N74" s="23">
        <v>0</v>
      </c>
    </row>
    <row r="75" spans="1:14" ht="12.75">
      <c r="A75" s="118" t="s">
        <v>65</v>
      </c>
      <c r="B75" s="154"/>
      <c r="C75" s="241">
        <v>1500</v>
      </c>
      <c r="D75" s="214">
        <v>1500</v>
      </c>
      <c r="E75" s="248">
        <v>3200</v>
      </c>
      <c r="F75" s="2">
        <v>8600</v>
      </c>
      <c r="G75" s="23">
        <v>6900</v>
      </c>
      <c r="H75" s="23">
        <v>3300</v>
      </c>
      <c r="I75" s="23">
        <v>5100</v>
      </c>
      <c r="J75" s="23">
        <v>6900</v>
      </c>
      <c r="K75" s="23">
        <v>5100</v>
      </c>
      <c r="L75" s="23">
        <v>5100</v>
      </c>
      <c r="M75" s="23">
        <v>3300</v>
      </c>
      <c r="N75" s="23">
        <v>0</v>
      </c>
    </row>
    <row r="76" spans="1:14" ht="12.75">
      <c r="A76" s="118" t="s">
        <v>66</v>
      </c>
      <c r="B76" s="154"/>
      <c r="C76" s="241">
        <v>5270</v>
      </c>
      <c r="D76" s="214">
        <v>3320</v>
      </c>
      <c r="E76" s="248">
        <v>3920</v>
      </c>
      <c r="F76" s="2">
        <v>5120</v>
      </c>
      <c r="G76" s="23">
        <v>7170</v>
      </c>
      <c r="H76" s="23">
        <v>6670</v>
      </c>
      <c r="I76" s="23">
        <v>6670</v>
      </c>
      <c r="J76" s="23">
        <v>7270</v>
      </c>
      <c r="K76" s="23">
        <v>9070</v>
      </c>
      <c r="L76" s="23">
        <v>10270</v>
      </c>
      <c r="M76" s="23">
        <v>8220</v>
      </c>
      <c r="N76" s="23">
        <v>4020</v>
      </c>
    </row>
    <row r="77" spans="1:14" ht="12.75">
      <c r="A77" s="118" t="s">
        <v>67</v>
      </c>
      <c r="B77" s="154"/>
      <c r="C77" s="241">
        <v>4050</v>
      </c>
      <c r="D77" s="214">
        <v>3495</v>
      </c>
      <c r="E77" s="248">
        <v>2925</v>
      </c>
      <c r="F77" s="2">
        <v>3855</v>
      </c>
      <c r="G77" s="23">
        <v>3555</v>
      </c>
      <c r="H77" s="23">
        <v>2370</v>
      </c>
      <c r="I77" s="23">
        <v>1785</v>
      </c>
      <c r="J77" s="23">
        <v>1785</v>
      </c>
      <c r="K77" s="23">
        <v>2685</v>
      </c>
      <c r="L77" s="23">
        <v>4485</v>
      </c>
      <c r="M77" s="23">
        <v>2985</v>
      </c>
      <c r="N77" s="23">
        <v>1500</v>
      </c>
    </row>
    <row r="78" spans="1:14" ht="12.75">
      <c r="A78" s="118" t="s">
        <v>68</v>
      </c>
      <c r="B78" s="154"/>
      <c r="C78" s="241">
        <v>0</v>
      </c>
      <c r="D78" s="214">
        <v>0</v>
      </c>
      <c r="E78" s="248"/>
      <c r="F78" s="2"/>
      <c r="G78" s="23"/>
      <c r="H78" s="23"/>
      <c r="I78" s="23"/>
      <c r="J78" s="23"/>
      <c r="K78" s="23"/>
      <c r="L78" s="23"/>
      <c r="M78" s="23"/>
      <c r="N78" s="23"/>
    </row>
    <row r="79" spans="1:14" ht="12.75">
      <c r="A79" s="118" t="s">
        <v>69</v>
      </c>
      <c r="B79" s="154"/>
      <c r="C79" s="241">
        <v>49097</v>
      </c>
      <c r="D79" s="214">
        <v>49097</v>
      </c>
      <c r="E79" s="248">
        <v>51657</v>
      </c>
      <c r="F79" s="2">
        <v>53937</v>
      </c>
      <c r="G79" s="23">
        <v>53937</v>
      </c>
      <c r="H79" s="23">
        <v>56767</v>
      </c>
      <c r="I79" s="23">
        <v>58227</v>
      </c>
      <c r="J79" s="23">
        <v>62282</v>
      </c>
      <c r="K79" s="23">
        <v>62282</v>
      </c>
      <c r="L79" s="23">
        <v>65867</v>
      </c>
      <c r="M79" s="23">
        <v>86113</v>
      </c>
      <c r="N79" s="23">
        <v>49097</v>
      </c>
    </row>
    <row r="80" spans="1:14" ht="12.75">
      <c r="A80" s="118" t="s">
        <v>70</v>
      </c>
      <c r="B80" s="154"/>
      <c r="C80" s="241">
        <v>6090</v>
      </c>
      <c r="D80" s="214">
        <v>6090</v>
      </c>
      <c r="E80" s="241">
        <v>6090</v>
      </c>
      <c r="F80" s="2">
        <v>6090</v>
      </c>
      <c r="G80" s="23">
        <v>6090</v>
      </c>
      <c r="H80" s="23">
        <v>6090</v>
      </c>
      <c r="I80" s="23">
        <v>6090</v>
      </c>
      <c r="J80" s="23">
        <v>6090</v>
      </c>
      <c r="K80" s="23">
        <v>6090</v>
      </c>
      <c r="L80" s="23">
        <v>6090</v>
      </c>
      <c r="M80" s="23">
        <v>6090</v>
      </c>
      <c r="N80" s="23">
        <v>6090</v>
      </c>
    </row>
    <row r="81" spans="1:14" ht="12.75">
      <c r="A81" s="118" t="s">
        <v>106</v>
      </c>
      <c r="B81" s="154"/>
      <c r="C81" s="241">
        <v>6500</v>
      </c>
      <c r="D81" s="214">
        <v>6500</v>
      </c>
      <c r="E81" s="241">
        <v>7760</v>
      </c>
      <c r="F81" s="2">
        <v>7760</v>
      </c>
      <c r="G81" s="23">
        <v>7760</v>
      </c>
      <c r="H81" s="23">
        <v>7760</v>
      </c>
      <c r="I81" s="23">
        <v>6530</v>
      </c>
      <c r="J81" s="23">
        <v>6630</v>
      </c>
      <c r="K81" s="23">
        <v>6630</v>
      </c>
      <c r="L81" s="23">
        <v>6930</v>
      </c>
      <c r="M81" s="23">
        <v>8420</v>
      </c>
      <c r="N81" s="23">
        <v>8420</v>
      </c>
    </row>
    <row r="82" spans="1:14" ht="12.75">
      <c r="A82" s="118" t="s">
        <v>71</v>
      </c>
      <c r="B82" s="154"/>
      <c r="C82" s="241"/>
      <c r="D82" s="214"/>
      <c r="E82" s="248"/>
      <c r="F82" s="2"/>
      <c r="G82" s="23"/>
      <c r="H82" s="23"/>
      <c r="I82" s="23"/>
      <c r="J82" s="23"/>
      <c r="K82" s="23"/>
      <c r="L82" s="23"/>
      <c r="M82" s="23"/>
      <c r="N82" s="23"/>
    </row>
    <row r="83" spans="1:14" ht="12.75">
      <c r="A83" s="118" t="s">
        <v>72</v>
      </c>
      <c r="B83" s="154"/>
      <c r="C83" s="241"/>
      <c r="D83" s="214"/>
      <c r="E83" s="241"/>
      <c r="F83" s="2"/>
      <c r="G83" s="23"/>
      <c r="H83" s="23"/>
      <c r="I83" s="23"/>
      <c r="J83" s="23"/>
      <c r="K83" s="23"/>
      <c r="L83" s="23"/>
      <c r="M83" s="23"/>
      <c r="N83" s="23"/>
    </row>
    <row r="84" spans="1:14" ht="12.75">
      <c r="A84" s="118" t="s">
        <v>73</v>
      </c>
      <c r="B84" s="154"/>
      <c r="C84" s="241">
        <v>36721</v>
      </c>
      <c r="D84" s="214">
        <v>53721</v>
      </c>
      <c r="E84" s="248">
        <v>53721</v>
      </c>
      <c r="F84" s="2">
        <v>70721</v>
      </c>
      <c r="G84" s="23">
        <v>70721</v>
      </c>
      <c r="H84" s="23">
        <v>36537</v>
      </c>
      <c r="I84" s="23">
        <v>36537</v>
      </c>
      <c r="J84" s="23">
        <v>36537</v>
      </c>
      <c r="K84" s="23">
        <v>36537</v>
      </c>
      <c r="L84" s="23">
        <v>53537</v>
      </c>
      <c r="M84" s="23">
        <v>27775</v>
      </c>
      <c r="N84" s="23">
        <v>10775</v>
      </c>
    </row>
    <row r="85" spans="1:14" ht="12.75">
      <c r="A85" s="118" t="s">
        <v>74</v>
      </c>
      <c r="B85" s="154"/>
      <c r="C85" s="241">
        <v>170577.64</v>
      </c>
      <c r="D85" s="214">
        <v>170577.64</v>
      </c>
      <c r="E85" s="248">
        <v>171842.64</v>
      </c>
      <c r="F85" s="2">
        <v>171842.64</v>
      </c>
      <c r="G85" s="23">
        <v>172042.64</v>
      </c>
      <c r="H85" s="23">
        <v>172042.64</v>
      </c>
      <c r="I85" s="23">
        <v>172042.64</v>
      </c>
      <c r="J85" s="23">
        <v>172042.64</v>
      </c>
      <c r="K85" s="23">
        <v>172322.64</v>
      </c>
      <c r="L85" s="23">
        <v>172322.64</v>
      </c>
      <c r="M85" s="23">
        <v>172322.64</v>
      </c>
      <c r="N85" s="23">
        <v>169809.64</v>
      </c>
    </row>
    <row r="86" spans="1:14" ht="12.75">
      <c r="A86" s="118" t="s">
        <v>75</v>
      </c>
      <c r="B86" s="154"/>
      <c r="C86" s="241">
        <v>77677.7</v>
      </c>
      <c r="D86" s="214">
        <v>77677.7</v>
      </c>
      <c r="E86" s="248">
        <v>77677.7</v>
      </c>
      <c r="F86" s="2">
        <v>77677.7</v>
      </c>
      <c r="G86" s="23">
        <v>77677.7</v>
      </c>
      <c r="H86" s="23">
        <v>77677.7</v>
      </c>
      <c r="I86" s="23">
        <v>77677.7</v>
      </c>
      <c r="J86" s="23">
        <v>77677.7</v>
      </c>
      <c r="K86" s="23">
        <v>77677.7</v>
      </c>
      <c r="L86" s="23">
        <v>77677.7</v>
      </c>
      <c r="M86" s="23">
        <v>77677.7</v>
      </c>
      <c r="N86" s="23">
        <v>77677.7</v>
      </c>
    </row>
    <row r="87" spans="1:14" ht="12.75">
      <c r="A87" s="118" t="s">
        <v>76</v>
      </c>
      <c r="B87" s="154"/>
      <c r="C87" s="241">
        <v>1800</v>
      </c>
      <c r="D87" s="214">
        <v>0</v>
      </c>
      <c r="E87" s="248">
        <v>400</v>
      </c>
      <c r="F87" s="2">
        <v>1425</v>
      </c>
      <c r="G87" s="23">
        <v>2225.6</v>
      </c>
      <c r="H87" s="23">
        <v>2000</v>
      </c>
      <c r="I87" s="23">
        <v>2400</v>
      </c>
      <c r="J87" s="23">
        <v>4800</v>
      </c>
      <c r="K87" s="23">
        <v>2400</v>
      </c>
      <c r="L87" s="23">
        <v>2800</v>
      </c>
      <c r="M87" s="23">
        <v>2800</v>
      </c>
      <c r="N87" s="23">
        <v>400</v>
      </c>
    </row>
    <row r="88" spans="1:14" ht="12.75">
      <c r="A88" s="118" t="s">
        <v>77</v>
      </c>
      <c r="B88" s="154"/>
      <c r="C88" s="241">
        <v>5620</v>
      </c>
      <c r="D88" s="214">
        <v>7760</v>
      </c>
      <c r="E88" s="248">
        <v>11050</v>
      </c>
      <c r="F88" s="2">
        <v>13150</v>
      </c>
      <c r="G88" s="23">
        <v>16560</v>
      </c>
      <c r="H88" s="23">
        <v>17950</v>
      </c>
      <c r="I88" s="23">
        <v>14650</v>
      </c>
      <c r="J88" s="23">
        <v>9950</v>
      </c>
      <c r="K88" s="23">
        <v>10350</v>
      </c>
      <c r="L88" s="23">
        <v>13550</v>
      </c>
      <c r="M88" s="23">
        <v>14750</v>
      </c>
      <c r="N88" s="23">
        <v>3560</v>
      </c>
    </row>
    <row r="89" spans="1:14" ht="12.75">
      <c r="A89" s="118" t="s">
        <v>78</v>
      </c>
      <c r="B89" s="154"/>
      <c r="C89" s="241">
        <v>295</v>
      </c>
      <c r="D89" s="215">
        <v>295</v>
      </c>
      <c r="E89" s="248">
        <v>295</v>
      </c>
      <c r="F89" s="23">
        <v>295</v>
      </c>
      <c r="G89" s="2">
        <v>295</v>
      </c>
      <c r="H89" s="23">
        <v>295</v>
      </c>
      <c r="I89" s="23">
        <v>295</v>
      </c>
      <c r="J89" s="23">
        <v>295</v>
      </c>
      <c r="K89" s="23">
        <v>295</v>
      </c>
      <c r="L89" s="23">
        <v>295</v>
      </c>
      <c r="M89" s="23">
        <v>295</v>
      </c>
      <c r="N89" s="23">
        <v>295</v>
      </c>
    </row>
    <row r="90" spans="1:14" ht="12.75">
      <c r="A90" s="4"/>
      <c r="C90" s="250">
        <v>4329</v>
      </c>
      <c r="D90" s="229">
        <v>4329</v>
      </c>
      <c r="E90" s="234">
        <v>4329</v>
      </c>
      <c r="F90" s="230">
        <v>5729</v>
      </c>
      <c r="G90" s="229">
        <v>5729</v>
      </c>
      <c r="H90" s="234">
        <v>7149</v>
      </c>
      <c r="I90" s="230">
        <v>4329</v>
      </c>
      <c r="J90" s="230">
        <v>3629</v>
      </c>
      <c r="K90" s="230">
        <v>4329</v>
      </c>
      <c r="L90" s="230">
        <v>5029</v>
      </c>
      <c r="M90" s="230">
        <v>5829</v>
      </c>
      <c r="N90" s="230">
        <v>595</v>
      </c>
    </row>
    <row r="91" spans="1:14" ht="12.75">
      <c r="A91" s="4"/>
      <c r="E91" s="158"/>
      <c r="F91" s="158"/>
      <c r="H91" s="158"/>
      <c r="I91" s="158"/>
      <c r="J91" s="158"/>
      <c r="K91" s="158"/>
      <c r="L91" s="158"/>
      <c r="M91" s="158"/>
      <c r="N91" s="158"/>
    </row>
    <row r="92" spans="1:14" ht="12.75" customHeight="1" thickBot="1">
      <c r="A92" s="22"/>
      <c r="C92" s="228">
        <f>SUM(C68:C90)</f>
        <v>4590818.619999999</v>
      </c>
      <c r="D92" s="228">
        <f aca="true" t="shared" si="2" ref="D92:N92">SUM(D68:D90)</f>
        <v>4624672.619999999</v>
      </c>
      <c r="E92" s="228">
        <f t="shared" si="2"/>
        <v>4656737.789999999</v>
      </c>
      <c r="F92" s="228">
        <f t="shared" si="2"/>
        <v>4704304.789999999</v>
      </c>
      <c r="G92" s="228">
        <f t="shared" si="2"/>
        <v>4709828.389999999</v>
      </c>
      <c r="H92" s="228">
        <f t="shared" si="2"/>
        <v>4693717.789999999</v>
      </c>
      <c r="I92" s="228">
        <f t="shared" si="2"/>
        <v>4701041.789999999</v>
      </c>
      <c r="J92" s="228">
        <f t="shared" si="2"/>
        <v>4697220.789999999</v>
      </c>
      <c r="K92" s="228">
        <f t="shared" si="2"/>
        <v>4727786.789999999</v>
      </c>
      <c r="L92" s="228">
        <f t="shared" si="2"/>
        <v>4789752.789999999</v>
      </c>
      <c r="M92" s="228">
        <f t="shared" si="2"/>
        <v>4789582.789999999</v>
      </c>
      <c r="N92" s="228">
        <f t="shared" si="2"/>
        <v>4176589.4200000004</v>
      </c>
    </row>
    <row r="93" ht="13.5" thickTop="1"/>
    <row r="98" spans="1:14" ht="12.75">
      <c r="A98" s="289" t="s">
        <v>481</v>
      </c>
      <c r="C98" s="7" t="s">
        <v>4</v>
      </c>
      <c r="D98" s="219" t="s">
        <v>4</v>
      </c>
      <c r="E98" s="219" t="s">
        <v>4</v>
      </c>
      <c r="F98" s="219" t="s">
        <v>4</v>
      </c>
      <c r="G98" s="219" t="s">
        <v>4</v>
      </c>
      <c r="H98" s="219" t="s">
        <v>4</v>
      </c>
      <c r="I98" s="7" t="s">
        <v>4</v>
      </c>
      <c r="J98" s="220" t="s">
        <v>4</v>
      </c>
      <c r="K98" s="220" t="s">
        <v>4</v>
      </c>
      <c r="L98" s="220" t="s">
        <v>4</v>
      </c>
      <c r="M98" s="220" t="s">
        <v>4</v>
      </c>
      <c r="N98" s="220" t="s">
        <v>4</v>
      </c>
    </row>
    <row r="99" spans="3:15" ht="12.75">
      <c r="C99" s="222">
        <v>42947</v>
      </c>
      <c r="D99" s="222">
        <v>42978</v>
      </c>
      <c r="E99" s="222">
        <v>43008</v>
      </c>
      <c r="F99" s="222">
        <v>43039</v>
      </c>
      <c r="G99" s="222">
        <v>43069</v>
      </c>
      <c r="H99" s="222">
        <v>43100</v>
      </c>
      <c r="I99" s="222">
        <v>43131</v>
      </c>
      <c r="J99" s="222">
        <v>43159</v>
      </c>
      <c r="K99" s="222">
        <v>43190</v>
      </c>
      <c r="L99" s="222">
        <v>43220</v>
      </c>
      <c r="M99" s="222">
        <v>43251</v>
      </c>
      <c r="N99" s="222">
        <v>43281</v>
      </c>
      <c r="O99" s="43"/>
    </row>
    <row r="100" spans="5:13" ht="12.75">
      <c r="E100" s="294">
        <v>2037.13</v>
      </c>
      <c r="F100" s="2"/>
      <c r="H100" s="2"/>
      <c r="I100" s="2"/>
      <c r="J100" s="2"/>
      <c r="K100" s="2"/>
      <c r="L100" s="2"/>
      <c r="M100" s="2"/>
    </row>
    <row r="101" spans="1:16" ht="12.75">
      <c r="A101" s="117" t="s">
        <v>79</v>
      </c>
      <c r="B101" s="154"/>
      <c r="C101" s="253">
        <v>1686282.37</v>
      </c>
      <c r="D101" s="214"/>
      <c r="E101" s="247"/>
      <c r="F101" s="2"/>
      <c r="G101" s="158"/>
      <c r="H101" s="158"/>
      <c r="I101" s="158">
        <v>-12994</v>
      </c>
      <c r="J101" s="238"/>
      <c r="K101" s="158"/>
      <c r="L101" s="158"/>
      <c r="M101" s="158"/>
      <c r="N101" s="158"/>
      <c r="O101" s="301">
        <v>30111029450</v>
      </c>
      <c r="P101" s="301">
        <v>20170503034628</v>
      </c>
    </row>
    <row r="102" spans="1:16" ht="12.75">
      <c r="A102" s="117" t="s">
        <v>80</v>
      </c>
      <c r="B102" s="154"/>
      <c r="C102" s="253">
        <v>1992486.71</v>
      </c>
      <c r="D102" s="214">
        <v>3683359.01</v>
      </c>
      <c r="E102" s="247">
        <v>3692752.08</v>
      </c>
      <c r="F102" s="2">
        <v>3704515</v>
      </c>
      <c r="G102" s="158">
        <f>F102+7500</f>
        <v>3712015</v>
      </c>
      <c r="H102" s="158">
        <f>G102+6500</f>
        <v>3718515</v>
      </c>
      <c r="I102" s="158">
        <f>H102+I101</f>
        <v>3705521</v>
      </c>
      <c r="J102" s="238">
        <f>I102+4500</f>
        <v>3710021</v>
      </c>
      <c r="K102" s="158">
        <f>J102+5000</f>
        <v>3715021</v>
      </c>
      <c r="L102" s="158">
        <f>K102+5000</f>
        <v>3720021</v>
      </c>
      <c r="M102" s="158">
        <f>L102+7050</f>
        <v>3727071</v>
      </c>
      <c r="N102" s="158">
        <f>M102+6500</f>
        <v>3733571</v>
      </c>
      <c r="O102" s="301">
        <v>30111020020</v>
      </c>
      <c r="P102" s="301">
        <v>20170620037567</v>
      </c>
    </row>
    <row r="103" spans="1:14" ht="12.75">
      <c r="A103" s="118" t="s">
        <v>61</v>
      </c>
      <c r="B103" s="154"/>
      <c r="C103" s="241">
        <v>1500</v>
      </c>
      <c r="D103" s="156"/>
      <c r="E103" s="248"/>
      <c r="F103" s="2"/>
      <c r="G103" s="23"/>
      <c r="H103" s="23"/>
      <c r="I103" s="23"/>
      <c r="J103" s="23"/>
      <c r="K103" s="23"/>
      <c r="L103" s="23"/>
      <c r="M103" s="23"/>
      <c r="N103" s="23"/>
    </row>
    <row r="104" spans="1:14" ht="12.75">
      <c r="A104" s="118" t="s">
        <v>62</v>
      </c>
      <c r="B104" s="154"/>
      <c r="C104" s="241">
        <v>200126.45</v>
      </c>
      <c r="D104" s="214"/>
      <c r="E104" s="248"/>
      <c r="F104" s="2"/>
      <c r="G104" s="23"/>
      <c r="H104" s="23"/>
      <c r="I104" s="23"/>
      <c r="J104" s="23"/>
      <c r="K104" s="23"/>
      <c r="L104" s="23"/>
      <c r="M104" s="23"/>
      <c r="N104" s="23"/>
    </row>
    <row r="105" spans="1:14" ht="12.75">
      <c r="A105" s="118" t="s">
        <v>208</v>
      </c>
      <c r="B105" s="154"/>
      <c r="C105" s="241"/>
      <c r="D105" s="214"/>
      <c r="E105" s="247"/>
      <c r="F105" s="2"/>
      <c r="G105" s="23"/>
      <c r="H105" s="23"/>
      <c r="I105" s="23"/>
      <c r="J105" s="23"/>
      <c r="K105" s="23"/>
      <c r="L105" s="23"/>
      <c r="M105" s="23"/>
      <c r="N105" s="23"/>
    </row>
    <row r="106" spans="1:14" ht="12.75">
      <c r="A106" s="118" t="s">
        <v>63</v>
      </c>
      <c r="B106" s="154"/>
      <c r="C106" s="241"/>
      <c r="D106" s="214"/>
      <c r="E106" s="247"/>
      <c r="F106" s="2"/>
      <c r="G106" s="23"/>
      <c r="H106" s="23"/>
      <c r="I106" s="23"/>
      <c r="J106" s="23"/>
      <c r="K106" s="23"/>
      <c r="L106" s="23"/>
      <c r="M106" s="23"/>
      <c r="N106" s="23"/>
    </row>
    <row r="107" spans="1:14" ht="12.75">
      <c r="A107" s="118" t="s">
        <v>64</v>
      </c>
      <c r="B107" s="154"/>
      <c r="C107" s="241"/>
      <c r="D107" s="214"/>
      <c r="E107" s="248"/>
      <c r="F107" s="2"/>
      <c r="G107" s="23"/>
      <c r="H107" s="23"/>
      <c r="I107" s="23"/>
      <c r="J107" s="23"/>
      <c r="K107" s="23"/>
      <c r="L107" s="23"/>
      <c r="M107" s="23"/>
      <c r="N107" s="23"/>
    </row>
    <row r="108" spans="1:14" ht="12.75">
      <c r="A108" s="118" t="s">
        <v>65</v>
      </c>
      <c r="B108" s="154"/>
      <c r="C108" s="241"/>
      <c r="D108" s="214"/>
      <c r="E108" s="248"/>
      <c r="F108" s="2"/>
      <c r="G108" s="23"/>
      <c r="H108" s="23"/>
      <c r="I108" s="23"/>
      <c r="J108" s="23"/>
      <c r="K108" s="23"/>
      <c r="L108" s="23"/>
      <c r="M108" s="23"/>
      <c r="N108" s="23"/>
    </row>
    <row r="109" spans="1:14" ht="12.75">
      <c r="A109" s="118" t="s">
        <v>66</v>
      </c>
      <c r="B109" s="154"/>
      <c r="C109" s="241">
        <v>4020</v>
      </c>
      <c r="D109" s="214"/>
      <c r="E109" s="248"/>
      <c r="F109" s="2"/>
      <c r="G109" s="23"/>
      <c r="H109" s="23"/>
      <c r="I109" s="23"/>
      <c r="J109" s="23"/>
      <c r="K109" s="23"/>
      <c r="L109" s="23"/>
      <c r="M109" s="23"/>
      <c r="N109" s="23"/>
    </row>
    <row r="110" spans="1:14" ht="12.75">
      <c r="A110" s="118" t="s">
        <v>67</v>
      </c>
      <c r="B110" s="154"/>
      <c r="C110" s="241">
        <v>1500</v>
      </c>
      <c r="D110" s="214"/>
      <c r="E110" s="248"/>
      <c r="F110" s="2"/>
      <c r="G110" s="23"/>
      <c r="H110" s="23"/>
      <c r="I110" s="23"/>
      <c r="J110" s="23"/>
      <c r="K110" s="23"/>
      <c r="L110" s="23"/>
      <c r="M110" s="23"/>
      <c r="N110" s="23"/>
    </row>
    <row r="111" spans="1:14" ht="12.75">
      <c r="A111" s="118" t="s">
        <v>68</v>
      </c>
      <c r="B111" s="154"/>
      <c r="C111" s="241"/>
      <c r="D111" s="214"/>
      <c r="E111" s="248"/>
      <c r="F111" s="2"/>
      <c r="G111" s="23"/>
      <c r="H111" s="23"/>
      <c r="I111" s="23"/>
      <c r="J111" s="23"/>
      <c r="K111" s="23"/>
      <c r="L111" s="23"/>
      <c r="M111" s="23"/>
      <c r="N111" s="23"/>
    </row>
    <row r="112" spans="1:14" ht="12.75">
      <c r="A112" s="118" t="s">
        <v>69</v>
      </c>
      <c r="B112" s="154"/>
      <c r="C112" s="241">
        <v>49097</v>
      </c>
      <c r="D112" s="214"/>
      <c r="E112" s="248"/>
      <c r="F112" s="2"/>
      <c r="G112" s="23"/>
      <c r="H112" s="23"/>
      <c r="I112" s="23"/>
      <c r="J112" s="23"/>
      <c r="K112" s="23"/>
      <c r="L112" s="23"/>
      <c r="M112" s="23"/>
      <c r="N112" s="23"/>
    </row>
    <row r="113" spans="1:14" ht="12.75">
      <c r="A113" s="118" t="s">
        <v>70</v>
      </c>
      <c r="B113" s="154"/>
      <c r="C113" s="241">
        <v>6090</v>
      </c>
      <c r="D113" s="214"/>
      <c r="E113" s="241"/>
      <c r="F113" s="2"/>
      <c r="G113" s="23"/>
      <c r="H113" s="23"/>
      <c r="I113" s="23"/>
      <c r="J113" s="23"/>
      <c r="K113" s="23"/>
      <c r="L113" s="23"/>
      <c r="M113" s="23"/>
      <c r="N113" s="23"/>
    </row>
    <row r="114" spans="1:14" ht="12.75">
      <c r="A114" s="118" t="s">
        <v>106</v>
      </c>
      <c r="B114" s="154"/>
      <c r="C114" s="241">
        <v>8420</v>
      </c>
      <c r="D114" s="214"/>
      <c r="E114" s="241"/>
      <c r="F114" s="2"/>
      <c r="G114" s="23"/>
      <c r="H114" s="23"/>
      <c r="I114" s="23"/>
      <c r="J114" s="23"/>
      <c r="K114" s="23"/>
      <c r="L114" s="23"/>
      <c r="M114" s="23"/>
      <c r="N114" s="23"/>
    </row>
    <row r="115" spans="1:14" ht="12.75">
      <c r="A115" s="118" t="s">
        <v>71</v>
      </c>
      <c r="B115" s="154"/>
      <c r="C115" s="241"/>
      <c r="D115" s="214"/>
      <c r="E115" s="248"/>
      <c r="F115" s="2"/>
      <c r="G115" s="23"/>
      <c r="H115" s="23"/>
      <c r="I115" s="23"/>
      <c r="J115" s="23"/>
      <c r="K115" s="23"/>
      <c r="L115" s="23"/>
      <c r="M115" s="23"/>
      <c r="N115" s="23"/>
    </row>
    <row r="116" spans="1:14" ht="12.75">
      <c r="A116" s="118" t="s">
        <v>72</v>
      </c>
      <c r="B116" s="154"/>
      <c r="C116" s="241"/>
      <c r="D116" s="214"/>
      <c r="E116" s="241"/>
      <c r="F116" s="2"/>
      <c r="G116" s="23"/>
      <c r="H116" s="23"/>
      <c r="I116" s="23"/>
      <c r="J116" s="23"/>
      <c r="K116" s="23"/>
      <c r="L116" s="23"/>
      <c r="M116" s="23"/>
      <c r="N116" s="23"/>
    </row>
    <row r="117" spans="1:14" ht="12.75">
      <c r="A117" s="118" t="s">
        <v>73</v>
      </c>
      <c r="B117" s="154"/>
      <c r="C117" s="241">
        <v>10775</v>
      </c>
      <c r="D117" s="214"/>
      <c r="E117" s="248"/>
      <c r="F117" s="2"/>
      <c r="G117" s="23"/>
      <c r="H117" s="23"/>
      <c r="I117" s="23"/>
      <c r="J117" s="23"/>
      <c r="K117" s="23"/>
      <c r="L117" s="23"/>
      <c r="M117" s="23"/>
      <c r="N117" s="23"/>
    </row>
    <row r="118" spans="1:14" ht="12.75">
      <c r="A118" s="118" t="s">
        <v>74</v>
      </c>
      <c r="B118" s="154"/>
      <c r="C118" s="241">
        <v>169809.64</v>
      </c>
      <c r="D118" s="214"/>
      <c r="E118" s="248"/>
      <c r="F118" s="2"/>
      <c r="G118" s="23"/>
      <c r="H118" s="23"/>
      <c r="I118" s="23"/>
      <c r="J118" s="23"/>
      <c r="K118" s="23"/>
      <c r="L118" s="23"/>
      <c r="M118" s="23"/>
      <c r="N118" s="23"/>
    </row>
    <row r="119" spans="1:14" ht="12.75">
      <c r="A119" s="118" t="s">
        <v>75</v>
      </c>
      <c r="B119" s="154"/>
      <c r="C119" s="241">
        <v>77677.7</v>
      </c>
      <c r="D119" s="214"/>
      <c r="E119" s="248"/>
      <c r="F119" s="2"/>
      <c r="G119" s="23"/>
      <c r="H119" s="23"/>
      <c r="I119" s="23"/>
      <c r="J119" s="23"/>
      <c r="K119" s="23"/>
      <c r="L119" s="23"/>
      <c r="M119" s="23"/>
      <c r="N119" s="23"/>
    </row>
    <row r="120" spans="1:14" ht="12.75">
      <c r="A120" s="118" t="s">
        <v>76</v>
      </c>
      <c r="B120" s="154"/>
      <c r="C120" s="241">
        <v>400</v>
      </c>
      <c r="D120" s="214"/>
      <c r="E120" s="248"/>
      <c r="F120" s="2"/>
      <c r="G120" s="23"/>
      <c r="H120" s="23"/>
      <c r="I120" s="23"/>
      <c r="J120" s="23"/>
      <c r="K120" s="23"/>
      <c r="L120" s="23"/>
      <c r="M120" s="23"/>
      <c r="N120" s="23"/>
    </row>
    <row r="121" spans="1:14" ht="12.75">
      <c r="A121" s="118" t="s">
        <v>77</v>
      </c>
      <c r="B121" s="154"/>
      <c r="C121" s="241">
        <v>3850</v>
      </c>
      <c r="D121" s="214"/>
      <c r="E121" s="248"/>
      <c r="F121" s="2"/>
      <c r="G121" s="23"/>
      <c r="H121" s="23"/>
      <c r="I121" s="23"/>
      <c r="J121" s="23"/>
      <c r="K121" s="23"/>
      <c r="L121" s="23"/>
      <c r="M121" s="23"/>
      <c r="N121" s="23"/>
    </row>
    <row r="122" spans="1:14" ht="12.75">
      <c r="A122" s="118" t="s">
        <v>78</v>
      </c>
      <c r="B122" s="154"/>
      <c r="C122" s="241"/>
      <c r="D122" s="215"/>
      <c r="E122" s="248"/>
      <c r="F122" s="23"/>
      <c r="H122" s="23"/>
      <c r="I122" s="23"/>
      <c r="J122" s="23"/>
      <c r="K122" s="23"/>
      <c r="L122" s="23"/>
      <c r="M122" s="23"/>
      <c r="N122" s="23"/>
    </row>
    <row r="123" spans="1:14" ht="12.75">
      <c r="A123" s="4"/>
      <c r="C123" s="250">
        <v>600</v>
      </c>
      <c r="D123" s="229">
        <v>549345.99</v>
      </c>
      <c r="E123" s="234">
        <v>548425.79</v>
      </c>
      <c r="F123" s="230">
        <v>546816</v>
      </c>
      <c r="G123" s="229">
        <f>F123+9000</f>
        <v>555816</v>
      </c>
      <c r="H123" s="234">
        <f>G123+100</f>
        <v>555916</v>
      </c>
      <c r="I123" s="230">
        <f>I127+H123</f>
        <v>555415</v>
      </c>
      <c r="J123" s="230">
        <f>I123+2000</f>
        <v>557415</v>
      </c>
      <c r="K123" s="230">
        <f>J123+11000</f>
        <v>568415</v>
      </c>
      <c r="L123" s="230">
        <f>K123+6000</f>
        <v>574415</v>
      </c>
      <c r="M123" s="230">
        <f>L123</f>
        <v>574415</v>
      </c>
      <c r="N123" s="230">
        <f>M123+4500</f>
        <v>578915</v>
      </c>
    </row>
    <row r="124" spans="1:14" ht="12.75">
      <c r="A124" s="4"/>
      <c r="E124" s="158"/>
      <c r="F124" s="158"/>
      <c r="H124" s="158"/>
      <c r="I124" s="158"/>
      <c r="J124" s="158"/>
      <c r="K124" s="158"/>
      <c r="L124" s="158"/>
      <c r="M124" s="158"/>
      <c r="N124" s="158"/>
    </row>
    <row r="125" spans="1:14" ht="12.75" customHeight="1" thickBot="1">
      <c r="A125" s="22"/>
      <c r="C125" s="228">
        <f>SUM(C101:C123)</f>
        <v>4212634.87</v>
      </c>
      <c r="D125" s="228">
        <f aca="true" t="shared" si="3" ref="D125:N125">SUM(D101:D123)</f>
        <v>4232705</v>
      </c>
      <c r="E125" s="228">
        <f t="shared" si="3"/>
        <v>4241177.87</v>
      </c>
      <c r="F125" s="228">
        <f t="shared" si="3"/>
        <v>4251331</v>
      </c>
      <c r="G125" s="228">
        <f t="shared" si="3"/>
        <v>4267831</v>
      </c>
      <c r="H125" s="228">
        <f t="shared" si="3"/>
        <v>4274431</v>
      </c>
      <c r="I125" s="228">
        <f>SUM(I102:I123)</f>
        <v>4260936</v>
      </c>
      <c r="J125" s="228">
        <f t="shared" si="3"/>
        <v>4267436</v>
      </c>
      <c r="K125" s="228">
        <f t="shared" si="3"/>
        <v>4283436</v>
      </c>
      <c r="L125" s="228">
        <f t="shared" si="3"/>
        <v>4294436</v>
      </c>
      <c r="M125" s="228">
        <f t="shared" si="3"/>
        <v>4301486</v>
      </c>
      <c r="N125" s="228">
        <f t="shared" si="3"/>
        <v>4312486</v>
      </c>
    </row>
    <row r="126" ht="13.5" thickTop="1"/>
    <row r="127" ht="12.75">
      <c r="I127">
        <v>-501</v>
      </c>
    </row>
    <row r="128" spans="1:14" ht="12.75">
      <c r="A128" s="289" t="s">
        <v>540</v>
      </c>
      <c r="C128" s="7" t="s">
        <v>4</v>
      </c>
      <c r="D128" s="219" t="s">
        <v>4</v>
      </c>
      <c r="E128" s="219" t="s">
        <v>4</v>
      </c>
      <c r="F128" s="219" t="s">
        <v>4</v>
      </c>
      <c r="G128" s="219" t="s">
        <v>4</v>
      </c>
      <c r="H128" s="219" t="s">
        <v>4</v>
      </c>
      <c r="I128" s="7" t="s">
        <v>4</v>
      </c>
      <c r="J128" s="220" t="s">
        <v>4</v>
      </c>
      <c r="K128" s="220" t="s">
        <v>4</v>
      </c>
      <c r="L128" s="220" t="s">
        <v>4</v>
      </c>
      <c r="M128" s="220" t="s">
        <v>4</v>
      </c>
      <c r="N128" s="220" t="s">
        <v>4</v>
      </c>
    </row>
    <row r="129" spans="3:15" ht="12.75">
      <c r="C129" s="222">
        <v>43312</v>
      </c>
      <c r="D129" s="222">
        <v>43343</v>
      </c>
      <c r="E129" s="222">
        <v>43373</v>
      </c>
      <c r="F129" s="222">
        <v>43404</v>
      </c>
      <c r="G129" s="222">
        <v>43434</v>
      </c>
      <c r="H129" s="222">
        <v>43465</v>
      </c>
      <c r="I129" s="222">
        <v>43496</v>
      </c>
      <c r="J129" s="222">
        <v>43524</v>
      </c>
      <c r="K129" s="222">
        <v>43555</v>
      </c>
      <c r="L129" s="222">
        <v>43585</v>
      </c>
      <c r="M129" s="222">
        <v>43616</v>
      </c>
      <c r="N129" s="222">
        <v>43646</v>
      </c>
      <c r="O129" s="43"/>
    </row>
    <row r="130" spans="5:13" ht="12.75">
      <c r="E130" s="294"/>
      <c r="F130" s="2"/>
      <c r="H130" s="2"/>
      <c r="I130" s="2"/>
      <c r="J130" s="2"/>
      <c r="K130" s="2"/>
      <c r="L130" s="2"/>
      <c r="M130" s="2"/>
    </row>
    <row r="131" spans="1:16" ht="12.75">
      <c r="A131" s="117" t="s">
        <v>79</v>
      </c>
      <c r="B131" s="154"/>
      <c r="C131" s="253"/>
      <c r="D131" s="214">
        <v>1815345</v>
      </c>
      <c r="E131" s="247">
        <f>D131</f>
        <v>1815345</v>
      </c>
      <c r="F131" s="2">
        <v>1844568.25</v>
      </c>
      <c r="G131" s="158">
        <v>1857548.25</v>
      </c>
      <c r="H131" s="158">
        <v>1851542.25</v>
      </c>
      <c r="I131" s="158">
        <v>1871891.25</v>
      </c>
      <c r="J131" s="238">
        <v>1792073.22</v>
      </c>
      <c r="K131" s="158">
        <v>1792073</v>
      </c>
      <c r="L131" s="158">
        <v>1792073.22</v>
      </c>
      <c r="M131" s="158">
        <v>1888398.25</v>
      </c>
      <c r="N131" s="158">
        <v>1893284.25</v>
      </c>
      <c r="O131" s="302">
        <v>30111029450</v>
      </c>
      <c r="P131" s="302">
        <v>20170503034628</v>
      </c>
    </row>
    <row r="132" spans="1:16" ht="12.75">
      <c r="A132" s="117" t="s">
        <v>80</v>
      </c>
      <c r="B132" s="154"/>
      <c r="C132" s="253">
        <f>N102+4069</f>
        <v>3737640</v>
      </c>
      <c r="D132" s="214">
        <v>2163825</v>
      </c>
      <c r="E132" s="247">
        <f>D132+4100</f>
        <v>2167925</v>
      </c>
      <c r="F132" s="2">
        <v>2200662.87</v>
      </c>
      <c r="G132" s="158">
        <v>2205539.95</v>
      </c>
      <c r="H132" s="158">
        <v>2211277.12</v>
      </c>
      <c r="I132" s="158">
        <v>2216371.12</v>
      </c>
      <c r="J132" s="238">
        <v>2120085.71</v>
      </c>
      <c r="K132" s="158">
        <v>2120085.71</v>
      </c>
      <c r="L132" s="158">
        <v>2120085.71</v>
      </c>
      <c r="M132" s="158">
        <v>2264304.45</v>
      </c>
      <c r="N132" s="158">
        <v>2190055.45</v>
      </c>
      <c r="O132" s="302">
        <v>30111020020</v>
      </c>
      <c r="P132" s="302">
        <v>20170620037567</v>
      </c>
    </row>
    <row r="133" spans="1:16" ht="12.75">
      <c r="A133" s="118" t="s">
        <v>61</v>
      </c>
      <c r="B133" s="154"/>
      <c r="C133" s="241"/>
      <c r="D133" s="156"/>
      <c r="E133" s="248"/>
      <c r="F133" s="2">
        <v>1500</v>
      </c>
      <c r="G133" s="23">
        <v>1500</v>
      </c>
      <c r="H133" s="23">
        <v>1500</v>
      </c>
      <c r="I133" s="23">
        <v>8068</v>
      </c>
      <c r="J133" s="23">
        <v>1500</v>
      </c>
      <c r="K133" s="23">
        <v>1500</v>
      </c>
      <c r="L133" s="23">
        <v>1500</v>
      </c>
      <c r="M133" s="23">
        <v>5204</v>
      </c>
      <c r="N133" s="23">
        <v>5204</v>
      </c>
      <c r="O133" s="302">
        <v>30111029510</v>
      </c>
      <c r="P133" s="302">
        <v>20170503034637</v>
      </c>
    </row>
    <row r="134" spans="1:16" ht="12.75">
      <c r="A134" s="118" t="s">
        <v>62</v>
      </c>
      <c r="B134" s="154"/>
      <c r="C134" s="241"/>
      <c r="D134" s="214"/>
      <c r="E134" s="248"/>
      <c r="F134" s="2">
        <v>182100</v>
      </c>
      <c r="G134" s="23">
        <v>198350</v>
      </c>
      <c r="H134" s="23">
        <v>198350</v>
      </c>
      <c r="I134" s="23">
        <v>192990</v>
      </c>
      <c r="J134" s="23">
        <v>177510</v>
      </c>
      <c r="K134" s="23">
        <v>177510</v>
      </c>
      <c r="L134" s="23">
        <v>177510</v>
      </c>
      <c r="M134" s="23">
        <v>193009.1</v>
      </c>
      <c r="N134" s="23">
        <v>193009.1</v>
      </c>
      <c r="O134" s="303">
        <v>30111029670</v>
      </c>
      <c r="P134" s="303">
        <v>20170503034661</v>
      </c>
    </row>
    <row r="135" spans="1:16" ht="12.75">
      <c r="A135" s="118" t="s">
        <v>208</v>
      </c>
      <c r="B135" s="154"/>
      <c r="C135" s="241"/>
      <c r="D135" s="214"/>
      <c r="E135" s="247"/>
      <c r="F135" s="2"/>
      <c r="G135" s="23"/>
      <c r="H135" s="23"/>
      <c r="I135" s="23"/>
      <c r="J135" s="23"/>
      <c r="K135" s="23"/>
      <c r="L135" s="23"/>
      <c r="M135" s="23"/>
      <c r="N135" s="23"/>
      <c r="O135" s="302"/>
      <c r="P135" s="302"/>
    </row>
    <row r="136" spans="1:16" ht="12.75">
      <c r="A136" s="118" t="s">
        <v>63</v>
      </c>
      <c r="B136" s="154"/>
      <c r="C136" s="241"/>
      <c r="D136" s="214"/>
      <c r="E136" s="247"/>
      <c r="F136" s="2">
        <v>3984.8</v>
      </c>
      <c r="G136" s="23">
        <v>1864.8</v>
      </c>
      <c r="H136" s="23">
        <v>1864</v>
      </c>
      <c r="I136" s="23">
        <v>1864</v>
      </c>
      <c r="J136" s="23">
        <v>3044</v>
      </c>
      <c r="K136" s="23">
        <v>3044.8</v>
      </c>
      <c r="L136" s="23">
        <v>3045</v>
      </c>
      <c r="M136" s="23">
        <v>1864.8</v>
      </c>
      <c r="N136" s="23">
        <v>1864.8</v>
      </c>
      <c r="O136" s="300">
        <v>30111029830</v>
      </c>
      <c r="P136" s="300">
        <v>20180629001958</v>
      </c>
    </row>
    <row r="137" spans="1:16" ht="12.75">
      <c r="A137" s="118" t="s">
        <v>64</v>
      </c>
      <c r="B137" s="154"/>
      <c r="C137" s="241"/>
      <c r="D137" s="214"/>
      <c r="E137" s="248"/>
      <c r="F137" s="2">
        <v>0</v>
      </c>
      <c r="G137" s="23"/>
      <c r="H137" s="23"/>
      <c r="I137" s="23"/>
      <c r="J137" s="23"/>
      <c r="K137" s="23"/>
      <c r="L137" s="23"/>
      <c r="M137" s="23"/>
      <c r="N137" s="23"/>
      <c r="O137" s="300">
        <v>30111020070</v>
      </c>
      <c r="P137" s="300">
        <v>20170620055554</v>
      </c>
    </row>
    <row r="138" spans="1:16" ht="12.75">
      <c r="A138" s="118" t="s">
        <v>65</v>
      </c>
      <c r="B138" s="154"/>
      <c r="C138" s="241"/>
      <c r="D138" s="214"/>
      <c r="E138" s="248"/>
      <c r="F138" s="2">
        <v>2000</v>
      </c>
      <c r="G138" s="23">
        <v>2000</v>
      </c>
      <c r="H138" s="23">
        <v>4120</v>
      </c>
      <c r="I138" s="23">
        <v>4120</v>
      </c>
      <c r="J138" s="23">
        <v>2000</v>
      </c>
      <c r="K138" s="23">
        <v>2000</v>
      </c>
      <c r="L138" s="23">
        <v>2000</v>
      </c>
      <c r="M138" s="23">
        <v>8360</v>
      </c>
      <c r="N138" s="23">
        <v>10480</v>
      </c>
      <c r="O138" s="300">
        <v>30111029840</v>
      </c>
      <c r="P138" s="300">
        <v>20180629002047</v>
      </c>
    </row>
    <row r="139" spans="1:16" ht="12.75">
      <c r="A139" s="118" t="s">
        <v>66</v>
      </c>
      <c r="B139" s="154"/>
      <c r="C139" s="241"/>
      <c r="D139" s="214"/>
      <c r="E139" s="248"/>
      <c r="F139" s="2">
        <v>12160</v>
      </c>
      <c r="G139" s="23">
        <v>13280</v>
      </c>
      <c r="H139" s="23">
        <v>16520</v>
      </c>
      <c r="I139" s="23">
        <v>16520</v>
      </c>
      <c r="J139" s="23">
        <v>5800</v>
      </c>
      <c r="K139" s="23">
        <v>5800</v>
      </c>
      <c r="L139" s="23">
        <v>5800</v>
      </c>
      <c r="M139" s="23">
        <v>13800</v>
      </c>
      <c r="N139" s="23">
        <v>13800</v>
      </c>
      <c r="O139" s="300">
        <v>30111029700</v>
      </c>
      <c r="P139" s="300">
        <v>20180608132727</v>
      </c>
    </row>
    <row r="140" spans="1:16" ht="12.75">
      <c r="A140" s="118" t="s">
        <v>67</v>
      </c>
      <c r="B140" s="154"/>
      <c r="C140" s="241"/>
      <c r="D140" s="214"/>
      <c r="E140" s="248"/>
      <c r="F140" s="2">
        <v>14631.5</v>
      </c>
      <c r="G140" s="23">
        <v>10391.5</v>
      </c>
      <c r="H140" s="23">
        <v>9425</v>
      </c>
      <c r="I140" s="23">
        <v>2742</v>
      </c>
      <c r="J140" s="23">
        <v>6105</v>
      </c>
      <c r="K140" s="23">
        <v>6105</v>
      </c>
      <c r="L140" s="23">
        <v>6105</v>
      </c>
      <c r="M140" s="23">
        <v>4862.9</v>
      </c>
      <c r="N140" s="23">
        <v>4862.9</v>
      </c>
      <c r="O140" s="300">
        <v>30111029710</v>
      </c>
      <c r="P140" s="300">
        <v>20180608133501</v>
      </c>
    </row>
    <row r="141" spans="1:16" ht="12.75">
      <c r="A141" s="118" t="s">
        <v>68</v>
      </c>
      <c r="B141" s="154"/>
      <c r="C141" s="241"/>
      <c r="D141" s="214"/>
      <c r="E141" s="248"/>
      <c r="F141" s="2">
        <v>0</v>
      </c>
      <c r="G141" s="23"/>
      <c r="H141" s="23"/>
      <c r="I141" s="23">
        <v>0</v>
      </c>
      <c r="J141" s="23"/>
      <c r="K141" s="23"/>
      <c r="L141" s="23"/>
      <c r="M141" s="23"/>
      <c r="N141" s="23"/>
      <c r="O141" s="302"/>
      <c r="P141" s="302"/>
    </row>
    <row r="142" spans="1:16" ht="12.75">
      <c r="A142" s="118" t="s">
        <v>69</v>
      </c>
      <c r="B142" s="154"/>
      <c r="C142" s="241"/>
      <c r="D142" s="214"/>
      <c r="E142" s="248"/>
      <c r="F142" s="2">
        <v>49097</v>
      </c>
      <c r="G142" s="23">
        <v>49097</v>
      </c>
      <c r="H142" s="23">
        <v>49097</v>
      </c>
      <c r="I142" s="23">
        <v>49097</v>
      </c>
      <c r="J142" s="23">
        <v>49097</v>
      </c>
      <c r="K142" s="23">
        <v>49097</v>
      </c>
      <c r="L142" s="23">
        <v>49097</v>
      </c>
      <c r="M142" s="23">
        <v>49097</v>
      </c>
      <c r="N142" s="23">
        <v>49097</v>
      </c>
      <c r="O142" s="300">
        <v>30111029720</v>
      </c>
      <c r="P142" s="300">
        <v>20180608134127</v>
      </c>
    </row>
    <row r="143" spans="1:16" ht="12.75">
      <c r="A143" s="118" t="s">
        <v>70</v>
      </c>
      <c r="B143" s="154"/>
      <c r="C143" s="241"/>
      <c r="D143" s="214"/>
      <c r="E143" s="241"/>
      <c r="F143" s="2">
        <v>6090</v>
      </c>
      <c r="G143" s="23">
        <v>6090</v>
      </c>
      <c r="H143" s="23">
        <v>6090</v>
      </c>
      <c r="I143" s="23">
        <v>6090</v>
      </c>
      <c r="J143" s="23">
        <v>6090</v>
      </c>
      <c r="K143" s="23">
        <v>6090</v>
      </c>
      <c r="L143" s="23">
        <v>6090</v>
      </c>
      <c r="M143" s="23">
        <v>6090</v>
      </c>
      <c r="N143" s="23">
        <v>6090</v>
      </c>
      <c r="O143" s="302">
        <v>30111029810</v>
      </c>
      <c r="P143" s="302">
        <v>20180611095814</v>
      </c>
    </row>
    <row r="144" spans="1:16" ht="12.75">
      <c r="A144" s="118" t="s">
        <v>106</v>
      </c>
      <c r="B144" s="154"/>
      <c r="C144" s="241"/>
      <c r="D144" s="214"/>
      <c r="E144" s="241"/>
      <c r="F144" s="2">
        <v>8420</v>
      </c>
      <c r="G144" s="23">
        <v>9173</v>
      </c>
      <c r="H144" s="23">
        <v>9173</v>
      </c>
      <c r="I144" s="23">
        <v>9283</v>
      </c>
      <c r="J144" s="23">
        <v>8420</v>
      </c>
      <c r="K144" s="23">
        <v>8420</v>
      </c>
      <c r="L144" s="23">
        <v>8420</v>
      </c>
      <c r="M144" s="23">
        <v>9283</v>
      </c>
      <c r="N144" s="23">
        <v>9283</v>
      </c>
      <c r="O144" s="302">
        <v>30111029820</v>
      </c>
      <c r="P144" s="302">
        <v>20180611100002</v>
      </c>
    </row>
    <row r="145" spans="1:16" ht="12.75">
      <c r="A145" s="118" t="s">
        <v>71</v>
      </c>
      <c r="B145" s="154"/>
      <c r="C145" s="241"/>
      <c r="D145" s="214"/>
      <c r="E145" s="248"/>
      <c r="F145" s="2"/>
      <c r="G145" s="23"/>
      <c r="H145" s="23"/>
      <c r="I145" s="23"/>
      <c r="J145" s="23"/>
      <c r="K145" s="23"/>
      <c r="L145" s="23"/>
      <c r="M145" s="23"/>
      <c r="N145" s="23"/>
      <c r="O145" s="302"/>
      <c r="P145" s="302"/>
    </row>
    <row r="146" spans="1:16" ht="12.75">
      <c r="A146" s="118" t="s">
        <v>72</v>
      </c>
      <c r="B146" s="154"/>
      <c r="C146" s="241"/>
      <c r="D146" s="214"/>
      <c r="E146" s="241"/>
      <c r="F146" s="2"/>
      <c r="G146" s="23"/>
      <c r="H146" s="23"/>
      <c r="I146" s="23"/>
      <c r="J146" s="23"/>
      <c r="K146" s="23"/>
      <c r="L146" s="23"/>
      <c r="M146" s="23"/>
      <c r="N146" s="23"/>
      <c r="O146" s="302"/>
      <c r="P146" s="302"/>
    </row>
    <row r="147" spans="1:16" ht="12.75">
      <c r="A147" s="118" t="s">
        <v>73</v>
      </c>
      <c r="B147" s="154"/>
      <c r="C147" s="241"/>
      <c r="D147" s="214"/>
      <c r="E147" s="248"/>
      <c r="F147" s="2">
        <v>10775</v>
      </c>
      <c r="G147" s="23">
        <v>0</v>
      </c>
      <c r="H147" s="23"/>
      <c r="I147" s="23"/>
      <c r="J147" s="23">
        <v>10775</v>
      </c>
      <c r="K147" s="23">
        <v>0</v>
      </c>
      <c r="L147" s="23"/>
      <c r="M147" s="23"/>
      <c r="N147" s="23"/>
      <c r="O147" s="300">
        <v>30111029750</v>
      </c>
      <c r="P147" s="300">
        <v>20180608143436</v>
      </c>
    </row>
    <row r="148" spans="1:16" ht="12.75">
      <c r="A148" s="118" t="s">
        <v>74</v>
      </c>
      <c r="B148" s="154"/>
      <c r="C148" s="241"/>
      <c r="D148" s="214"/>
      <c r="E148" s="248"/>
      <c r="F148" s="2">
        <v>172729.64</v>
      </c>
      <c r="G148" s="23">
        <v>172729.64</v>
      </c>
      <c r="H148" s="23">
        <v>172729.64</v>
      </c>
      <c r="I148" s="23">
        <v>173004.64</v>
      </c>
      <c r="J148" s="23">
        <v>172729.64</v>
      </c>
      <c r="K148" s="23">
        <v>172729.64</v>
      </c>
      <c r="L148" s="23">
        <v>172729.64</v>
      </c>
      <c r="M148" s="23">
        <v>173764.64</v>
      </c>
      <c r="N148" s="23">
        <v>173764.64</v>
      </c>
      <c r="O148" s="304">
        <v>30111029760</v>
      </c>
      <c r="P148" s="300">
        <v>20180608143753</v>
      </c>
    </row>
    <row r="149" spans="1:16" ht="12.75">
      <c r="A149" s="118" t="s">
        <v>75</v>
      </c>
      <c r="B149" s="154"/>
      <c r="C149" s="241"/>
      <c r="D149" s="214"/>
      <c r="E149" s="248"/>
      <c r="F149" s="2">
        <v>77677.7</v>
      </c>
      <c r="G149" s="23">
        <v>77677.7</v>
      </c>
      <c r="H149" s="23">
        <v>77677.7</v>
      </c>
      <c r="I149" s="23">
        <v>77677.7</v>
      </c>
      <c r="J149" s="23">
        <v>77677.7</v>
      </c>
      <c r="K149" s="23">
        <v>77677.7</v>
      </c>
      <c r="L149" s="23">
        <v>77677.7</v>
      </c>
      <c r="M149" s="23">
        <v>77678</v>
      </c>
      <c r="N149" s="23">
        <v>77677.7</v>
      </c>
      <c r="O149" s="310">
        <v>30111029770</v>
      </c>
      <c r="P149" s="300">
        <v>20180608150946</v>
      </c>
    </row>
    <row r="150" spans="1:16" ht="12.75">
      <c r="A150" s="118" t="s">
        <v>76</v>
      </c>
      <c r="B150" s="154"/>
      <c r="C150" s="241"/>
      <c r="D150" s="214"/>
      <c r="E150" s="248"/>
      <c r="F150" s="2">
        <v>9090</v>
      </c>
      <c r="G150" s="23">
        <v>7260</v>
      </c>
      <c r="H150" s="23">
        <v>7260</v>
      </c>
      <c r="I150" s="23">
        <v>7080</v>
      </c>
      <c r="J150" s="23">
        <v>1900</v>
      </c>
      <c r="K150" s="23">
        <v>1900</v>
      </c>
      <c r="L150" s="23">
        <v>1900</v>
      </c>
      <c r="M150" s="23">
        <v>5540</v>
      </c>
      <c r="N150" s="23">
        <v>6760</v>
      </c>
      <c r="O150" s="304">
        <v>30111029780</v>
      </c>
      <c r="P150" s="300">
        <v>20180608151125</v>
      </c>
    </row>
    <row r="151" spans="1:16" ht="12.75">
      <c r="A151" s="118" t="s">
        <v>77</v>
      </c>
      <c r="B151" s="154"/>
      <c r="C151" s="241"/>
      <c r="D151" s="214"/>
      <c r="E151" s="248"/>
      <c r="F151" s="2">
        <v>18950</v>
      </c>
      <c r="G151" s="23">
        <v>4240</v>
      </c>
      <c r="H151" s="23">
        <v>0</v>
      </c>
      <c r="I151" s="23">
        <v>2120</v>
      </c>
      <c r="J151" s="23">
        <v>19410</v>
      </c>
      <c r="K151" s="23">
        <v>2370</v>
      </c>
      <c r="L151" s="23">
        <v>0</v>
      </c>
      <c r="M151" s="23"/>
      <c r="N151" s="23"/>
      <c r="O151" s="309">
        <v>30111029550</v>
      </c>
      <c r="P151" s="300">
        <v>20170503034643</v>
      </c>
    </row>
    <row r="152" spans="1:16" ht="12.75">
      <c r="A152" s="118" t="s">
        <v>78</v>
      </c>
      <c r="B152" s="154"/>
      <c r="C152" s="241"/>
      <c r="D152" s="215"/>
      <c r="E152" s="248"/>
      <c r="F152" s="23">
        <v>11170</v>
      </c>
      <c r="G152" s="2">
        <v>13290</v>
      </c>
      <c r="H152" s="23">
        <v>11170</v>
      </c>
      <c r="I152" s="23">
        <v>6080</v>
      </c>
      <c r="J152" s="23">
        <v>5900</v>
      </c>
      <c r="K152" s="23">
        <v>2660</v>
      </c>
      <c r="L152" s="23">
        <v>5900</v>
      </c>
      <c r="M152" s="23">
        <v>2660</v>
      </c>
      <c r="N152" s="23">
        <v>3660</v>
      </c>
      <c r="O152" s="304">
        <v>30111029800</v>
      </c>
      <c r="P152" s="300">
        <v>20180608151223</v>
      </c>
    </row>
    <row r="153" spans="1:16" ht="12.75">
      <c r="A153" s="4"/>
      <c r="C153" s="250">
        <f>N123+5500</f>
        <v>584415</v>
      </c>
      <c r="D153" s="229">
        <v>584415</v>
      </c>
      <c r="E153" s="234">
        <f>D153+3000</f>
        <v>587415</v>
      </c>
      <c r="F153" s="230">
        <v>-597504</v>
      </c>
      <c r="G153" s="229"/>
      <c r="H153" s="234"/>
      <c r="I153" s="230"/>
      <c r="J153" s="230"/>
      <c r="K153" s="230"/>
      <c r="L153" s="230"/>
      <c r="M153" s="230"/>
      <c r="N153" s="230"/>
      <c r="O153" s="39"/>
      <c r="P153" s="39"/>
    </row>
    <row r="154" spans="1:14" ht="12.75">
      <c r="A154" s="4"/>
      <c r="E154" s="158"/>
      <c r="F154" s="158"/>
      <c r="H154" s="158"/>
      <c r="I154" s="158"/>
      <c r="J154" s="158"/>
      <c r="K154" s="158"/>
      <c r="L154" s="158"/>
      <c r="M154" s="158"/>
      <c r="N154" s="158"/>
    </row>
    <row r="155" spans="1:14" ht="12.75" customHeight="1" thickBot="1">
      <c r="A155" s="22"/>
      <c r="C155" s="228">
        <f aca="true" t="shared" si="4" ref="C155:H155">SUM(C131:C153)</f>
        <v>4322055</v>
      </c>
      <c r="D155" s="228">
        <f t="shared" si="4"/>
        <v>4563585</v>
      </c>
      <c r="E155" s="228">
        <f t="shared" si="4"/>
        <v>4570685</v>
      </c>
      <c r="F155" s="228">
        <f t="shared" si="4"/>
        <v>4028102.76</v>
      </c>
      <c r="G155" s="228">
        <f t="shared" si="4"/>
        <v>4630031.84</v>
      </c>
      <c r="H155" s="228">
        <f t="shared" si="4"/>
        <v>4627795.71</v>
      </c>
      <c r="I155" s="228">
        <f aca="true" t="shared" si="5" ref="I155:N155">SUM(I131:I153)</f>
        <v>4644998.71</v>
      </c>
      <c r="J155" s="228">
        <f t="shared" si="5"/>
        <v>4460117.27</v>
      </c>
      <c r="K155" s="228">
        <f t="shared" si="5"/>
        <v>4429062.85</v>
      </c>
      <c r="L155" s="228">
        <f t="shared" si="5"/>
        <v>4429933.27</v>
      </c>
      <c r="M155" s="228">
        <f>SUM(M131:M152)</f>
        <v>4703916.14</v>
      </c>
      <c r="N155" s="228">
        <f t="shared" si="5"/>
        <v>4638892.84</v>
      </c>
    </row>
    <row r="156" ht="13.5" thickTop="1"/>
    <row r="157" spans="8:12" ht="12.75">
      <c r="H157" s="23">
        <f>H155-G155</f>
        <v>-2236.1299999998882</v>
      </c>
      <c r="I157" s="23">
        <f>I155-H155</f>
        <v>17203</v>
      </c>
      <c r="J157" s="23">
        <f>J155-I155</f>
        <v>-184881.4400000004</v>
      </c>
      <c r="K157" s="23">
        <f>K155-J155</f>
        <v>-31054.419999999925</v>
      </c>
      <c r="L157" s="23">
        <f>L155-K155</f>
        <v>870.4199999999255</v>
      </c>
    </row>
    <row r="159" spans="1:15" ht="12.75">
      <c r="A159" s="39" t="s">
        <v>566</v>
      </c>
      <c r="J159" s="23">
        <f>SUM(J131+J132-I131-I132)</f>
        <v>-176103.4400000004</v>
      </c>
      <c r="M159" s="23">
        <f>M131+M132-L131-L132</f>
        <v>240543.77000000048</v>
      </c>
      <c r="N159" s="23">
        <f>N131+N132-M131-M132</f>
        <v>-69363</v>
      </c>
      <c r="O159" s="23"/>
    </row>
    <row r="160" spans="1:14" ht="12.75">
      <c r="A160" s="39" t="s">
        <v>567</v>
      </c>
      <c r="J160" s="23">
        <f>SUM(J155-J131-J132+I131+I132-I155)</f>
        <v>-8778</v>
      </c>
      <c r="M160" s="23">
        <f>M155-L155-M159</f>
        <v>33439.09999999963</v>
      </c>
      <c r="N160" s="23">
        <f>N155-M155+69363</f>
        <v>4339.700000000186</v>
      </c>
    </row>
    <row r="163" spans="1:14" ht="12.75">
      <c r="A163" s="289" t="s">
        <v>587</v>
      </c>
      <c r="C163" s="7" t="s">
        <v>4</v>
      </c>
      <c r="D163" s="219" t="s">
        <v>4</v>
      </c>
      <c r="E163" s="219" t="s">
        <v>4</v>
      </c>
      <c r="F163" s="219" t="s">
        <v>4</v>
      </c>
      <c r="G163" s="219" t="s">
        <v>4</v>
      </c>
      <c r="H163" s="219" t="s">
        <v>4</v>
      </c>
      <c r="I163" s="7" t="s">
        <v>4</v>
      </c>
      <c r="J163" s="220" t="s">
        <v>4</v>
      </c>
      <c r="K163" s="220" t="s">
        <v>4</v>
      </c>
      <c r="L163" s="220" t="s">
        <v>4</v>
      </c>
      <c r="M163" s="220" t="s">
        <v>4</v>
      </c>
      <c r="N163" s="220" t="s">
        <v>4</v>
      </c>
    </row>
    <row r="164" spans="3:15" ht="12.75">
      <c r="C164" s="222">
        <v>43677</v>
      </c>
      <c r="D164" s="222">
        <v>43708</v>
      </c>
      <c r="E164" s="222">
        <v>43738</v>
      </c>
      <c r="F164" s="222">
        <v>43769</v>
      </c>
      <c r="G164" s="222">
        <v>43799</v>
      </c>
      <c r="H164" s="222">
        <v>43830</v>
      </c>
      <c r="I164" s="222">
        <v>43861</v>
      </c>
      <c r="J164" s="222">
        <v>43890</v>
      </c>
      <c r="K164" s="222">
        <v>43921</v>
      </c>
      <c r="L164" s="222">
        <v>43951</v>
      </c>
      <c r="M164" s="222">
        <v>43982</v>
      </c>
      <c r="N164" s="222">
        <v>44012</v>
      </c>
      <c r="O164" s="43"/>
    </row>
    <row r="165" spans="5:13" ht="12.75">
      <c r="E165" s="294"/>
      <c r="F165" s="2"/>
      <c r="H165" s="2"/>
      <c r="I165" s="2"/>
      <c r="J165" s="2"/>
      <c r="K165" s="2"/>
      <c r="L165" s="2"/>
      <c r="M165" s="2"/>
    </row>
    <row r="166" spans="1:16" ht="12.75">
      <c r="A166" s="117" t="s">
        <v>79</v>
      </c>
      <c r="B166" s="154"/>
      <c r="C166" s="315">
        <v>1893284</v>
      </c>
      <c r="D166" s="316">
        <f>C166</f>
        <v>1893284</v>
      </c>
      <c r="E166" s="317">
        <v>1930485.73</v>
      </c>
      <c r="F166" s="318">
        <v>1943031.73</v>
      </c>
      <c r="G166" s="318">
        <v>1952229.73</v>
      </c>
      <c r="H166" s="318">
        <v>1957498.52</v>
      </c>
      <c r="I166" s="318">
        <v>1955358.52</v>
      </c>
      <c r="J166" s="319"/>
      <c r="K166" s="318"/>
      <c r="L166" s="318"/>
      <c r="M166" s="318"/>
      <c r="N166" s="318"/>
      <c r="O166" s="302">
        <v>30111029450</v>
      </c>
      <c r="P166" s="302">
        <v>20170503034628</v>
      </c>
    </row>
    <row r="167" spans="1:16" ht="12.75">
      <c r="A167" s="117" t="s">
        <v>80</v>
      </c>
      <c r="B167" s="154"/>
      <c r="C167" s="315">
        <f>2190055+86984.48</f>
        <v>2277039.48</v>
      </c>
      <c r="D167" s="316">
        <f>C167+4080</f>
        <v>2281119.48</v>
      </c>
      <c r="E167" s="317">
        <v>2233416.24</v>
      </c>
      <c r="F167" s="318">
        <v>2240335.24</v>
      </c>
      <c r="G167" s="318">
        <v>2246012.24</v>
      </c>
      <c r="H167" s="318">
        <v>2250266.24</v>
      </c>
      <c r="I167" s="318">
        <v>2243308.24</v>
      </c>
      <c r="J167" s="319"/>
      <c r="K167" s="318"/>
      <c r="L167" s="318"/>
      <c r="M167" s="318"/>
      <c r="N167" s="318"/>
      <c r="O167" s="302">
        <v>30111020020</v>
      </c>
      <c r="P167" s="302">
        <v>20170620037567</v>
      </c>
    </row>
    <row r="168" spans="1:16" ht="12.75">
      <c r="A168" s="118" t="s">
        <v>61</v>
      </c>
      <c r="B168" s="154"/>
      <c r="C168" s="317"/>
      <c r="D168" s="320"/>
      <c r="E168" s="213">
        <v>6424</v>
      </c>
      <c r="F168" s="318">
        <v>6424</v>
      </c>
      <c r="G168" s="44">
        <v>6424</v>
      </c>
      <c r="H168" s="44">
        <v>6424</v>
      </c>
      <c r="I168" s="44">
        <v>6424</v>
      </c>
      <c r="J168" s="44"/>
      <c r="K168" s="44"/>
      <c r="L168" s="44"/>
      <c r="M168" s="44"/>
      <c r="N168" s="44"/>
      <c r="O168" s="302">
        <v>30111029510</v>
      </c>
      <c r="P168" s="302">
        <v>20170503034637</v>
      </c>
    </row>
    <row r="169" spans="1:16" ht="12.75">
      <c r="A169" s="118" t="s">
        <v>62</v>
      </c>
      <c r="B169" s="154"/>
      <c r="C169" s="317"/>
      <c r="D169" s="316"/>
      <c r="E169" s="213">
        <v>192499.1</v>
      </c>
      <c r="F169" s="318">
        <v>199389.1</v>
      </c>
      <c r="G169" s="44">
        <v>206279.1</v>
      </c>
      <c r="H169" s="44">
        <v>203029.1</v>
      </c>
      <c r="I169" s="44">
        <v>213364</v>
      </c>
      <c r="J169" s="44"/>
      <c r="K169" s="44"/>
      <c r="L169" s="44"/>
      <c r="M169" s="44"/>
      <c r="N169" s="44"/>
      <c r="O169" s="303">
        <v>30111029670</v>
      </c>
      <c r="P169" s="303">
        <v>20170503034661</v>
      </c>
    </row>
    <row r="170" spans="1:16" ht="12.75">
      <c r="A170" s="118" t="s">
        <v>208</v>
      </c>
      <c r="B170" s="154"/>
      <c r="C170" s="317"/>
      <c r="D170" s="316"/>
      <c r="E170" s="317"/>
      <c r="F170" s="318"/>
      <c r="G170" s="44"/>
      <c r="H170" s="44"/>
      <c r="I170" s="44"/>
      <c r="J170" s="44"/>
      <c r="K170" s="44"/>
      <c r="L170" s="44"/>
      <c r="M170" s="44"/>
      <c r="N170" s="44"/>
      <c r="O170" s="302"/>
      <c r="P170" s="302"/>
    </row>
    <row r="171" spans="1:16" ht="12.75">
      <c r="A171" s="118" t="s">
        <v>63</v>
      </c>
      <c r="B171" s="154"/>
      <c r="C171" s="317"/>
      <c r="D171" s="316"/>
      <c r="E171" s="317">
        <v>18464.8</v>
      </c>
      <c r="F171" s="318">
        <v>6364.8</v>
      </c>
      <c r="G171" s="44">
        <v>4114.8</v>
      </c>
      <c r="H171" s="44">
        <v>1864.8</v>
      </c>
      <c r="I171" s="44">
        <v>6364.8</v>
      </c>
      <c r="J171" s="44"/>
      <c r="K171" s="44"/>
      <c r="L171" s="44"/>
      <c r="M171" s="44"/>
      <c r="N171" s="44"/>
      <c r="O171" s="300">
        <v>30111029830</v>
      </c>
      <c r="P171" s="300">
        <v>20180629001958</v>
      </c>
    </row>
    <row r="172" spans="1:16" ht="12.75">
      <c r="A172" s="118" t="s">
        <v>64</v>
      </c>
      <c r="B172" s="154"/>
      <c r="C172" s="317"/>
      <c r="D172" s="316"/>
      <c r="E172" s="213">
        <v>0</v>
      </c>
      <c r="F172" s="318">
        <v>0</v>
      </c>
      <c r="G172" s="44">
        <v>0</v>
      </c>
      <c r="H172" s="44">
        <v>0</v>
      </c>
      <c r="I172" s="44"/>
      <c r="J172" s="44"/>
      <c r="K172" s="44"/>
      <c r="L172" s="44"/>
      <c r="M172" s="44"/>
      <c r="N172" s="44"/>
      <c r="O172" s="300">
        <v>30111020070</v>
      </c>
      <c r="P172" s="300">
        <v>20170620055554</v>
      </c>
    </row>
    <row r="173" spans="1:16" ht="12.75">
      <c r="A173" s="118" t="s">
        <v>65</v>
      </c>
      <c r="B173" s="154"/>
      <c r="C173" s="317"/>
      <c r="D173" s="316"/>
      <c r="E173" s="213">
        <v>12860</v>
      </c>
      <c r="F173" s="318">
        <v>12860</v>
      </c>
      <c r="G173" s="44">
        <v>10550</v>
      </c>
      <c r="H173" s="44">
        <v>10680</v>
      </c>
      <c r="I173" s="44">
        <v>8430</v>
      </c>
      <c r="J173" s="44"/>
      <c r="K173" s="44"/>
      <c r="L173" s="44"/>
      <c r="M173" s="44"/>
      <c r="N173" s="44"/>
      <c r="O173" s="300">
        <v>30111029840</v>
      </c>
      <c r="P173" s="300">
        <v>20180629002047</v>
      </c>
    </row>
    <row r="174" spans="1:16" ht="12.75">
      <c r="A174" s="118" t="s">
        <v>66</v>
      </c>
      <c r="B174" s="154"/>
      <c r="C174" s="317"/>
      <c r="D174" s="316"/>
      <c r="E174" s="213">
        <v>11810</v>
      </c>
      <c r="F174" s="318">
        <v>16310</v>
      </c>
      <c r="G174" s="44">
        <v>16310</v>
      </c>
      <c r="H174" s="44">
        <v>14060</v>
      </c>
      <c r="I174" s="44">
        <v>18560</v>
      </c>
      <c r="J174" s="44"/>
      <c r="K174" s="44"/>
      <c r="L174" s="44"/>
      <c r="M174" s="44"/>
      <c r="N174" s="44"/>
      <c r="O174" s="300">
        <v>30111029700</v>
      </c>
      <c r="P174" s="300">
        <v>20180608132727</v>
      </c>
    </row>
    <row r="175" spans="1:16" ht="12.75">
      <c r="A175" s="118" t="s">
        <v>67</v>
      </c>
      <c r="B175" s="154"/>
      <c r="C175" s="317"/>
      <c r="D175" s="316"/>
      <c r="E175" s="213">
        <v>9362.9</v>
      </c>
      <c r="F175" s="318">
        <v>9492.9</v>
      </c>
      <c r="G175" s="44">
        <v>7242.9</v>
      </c>
      <c r="H175" s="44">
        <v>7242</v>
      </c>
      <c r="I175" s="44">
        <v>7242.9</v>
      </c>
      <c r="J175" s="44"/>
      <c r="K175" s="44"/>
      <c r="L175" s="44"/>
      <c r="M175" s="44"/>
      <c r="N175" s="44"/>
      <c r="O175" s="300">
        <v>30111029710</v>
      </c>
      <c r="P175" s="300">
        <v>20180608133501</v>
      </c>
    </row>
    <row r="176" spans="1:16" ht="12.75">
      <c r="A176" s="118" t="s">
        <v>68</v>
      </c>
      <c r="B176" s="154"/>
      <c r="C176" s="317"/>
      <c r="D176" s="316"/>
      <c r="E176" s="213"/>
      <c r="F176" s="318"/>
      <c r="G176" s="44"/>
      <c r="H176" s="44"/>
      <c r="I176" s="44"/>
      <c r="J176" s="44"/>
      <c r="K176" s="44"/>
      <c r="L176" s="44"/>
      <c r="M176" s="44"/>
      <c r="N176" s="44"/>
      <c r="O176" s="302"/>
      <c r="P176" s="302"/>
    </row>
    <row r="177" spans="1:16" ht="12.75">
      <c r="A177" s="118" t="s">
        <v>69</v>
      </c>
      <c r="B177" s="154"/>
      <c r="C177" s="317"/>
      <c r="D177" s="316"/>
      <c r="E177" s="213">
        <v>49097</v>
      </c>
      <c r="F177" s="318">
        <v>49097</v>
      </c>
      <c r="G177" s="44">
        <v>49097</v>
      </c>
      <c r="H177" s="44">
        <v>49097</v>
      </c>
      <c r="I177" s="44">
        <v>49097</v>
      </c>
      <c r="J177" s="44"/>
      <c r="K177" s="44"/>
      <c r="L177" s="44"/>
      <c r="M177" s="44"/>
      <c r="N177" s="44"/>
      <c r="O177" s="300">
        <v>30111029720</v>
      </c>
      <c r="P177" s="300">
        <v>20180608134127</v>
      </c>
    </row>
    <row r="178" spans="1:16" ht="12.75">
      <c r="A178" s="118" t="s">
        <v>70</v>
      </c>
      <c r="B178" s="154"/>
      <c r="C178" s="317"/>
      <c r="D178" s="316"/>
      <c r="E178" s="317">
        <v>6090</v>
      </c>
      <c r="F178" s="318">
        <v>6090</v>
      </c>
      <c r="G178" s="44">
        <v>6090</v>
      </c>
      <c r="H178" s="44">
        <v>6090</v>
      </c>
      <c r="I178" s="44">
        <v>6090</v>
      </c>
      <c r="J178" s="44"/>
      <c r="K178" s="44"/>
      <c r="L178" s="44"/>
      <c r="M178" s="44"/>
      <c r="N178" s="44"/>
      <c r="O178" s="302">
        <v>30111029810</v>
      </c>
      <c r="P178" s="302">
        <v>20180611095814</v>
      </c>
    </row>
    <row r="179" spans="1:16" ht="12.75">
      <c r="A179" s="118" t="s">
        <v>106</v>
      </c>
      <c r="B179" s="154"/>
      <c r="C179" s="317"/>
      <c r="D179" s="316"/>
      <c r="E179" s="317">
        <v>9283</v>
      </c>
      <c r="F179" s="318">
        <v>9283</v>
      </c>
      <c r="G179" s="44">
        <v>9283</v>
      </c>
      <c r="H179" s="44">
        <v>9283</v>
      </c>
      <c r="I179" s="44">
        <v>10088</v>
      </c>
      <c r="J179" s="44"/>
      <c r="K179" s="44"/>
      <c r="L179" s="44"/>
      <c r="M179" s="44"/>
      <c r="N179" s="44"/>
      <c r="O179" s="302">
        <v>30111029820</v>
      </c>
      <c r="P179" s="302">
        <v>20180611100002</v>
      </c>
    </row>
    <row r="180" spans="1:16" ht="12.75">
      <c r="A180" s="118" t="s">
        <v>71</v>
      </c>
      <c r="B180" s="154"/>
      <c r="C180" s="317"/>
      <c r="D180" s="316"/>
      <c r="E180" s="213"/>
      <c r="F180" s="318"/>
      <c r="G180" s="44"/>
      <c r="H180" s="44"/>
      <c r="I180" s="44"/>
      <c r="J180" s="44"/>
      <c r="K180" s="44"/>
      <c r="L180" s="44"/>
      <c r="M180" s="44"/>
      <c r="N180" s="44"/>
      <c r="O180" s="302"/>
      <c r="P180" s="302"/>
    </row>
    <row r="181" spans="1:16" ht="12.75">
      <c r="A181" s="118" t="s">
        <v>72</v>
      </c>
      <c r="B181" s="154"/>
      <c r="C181" s="317"/>
      <c r="D181" s="316"/>
      <c r="E181" s="317"/>
      <c r="F181" s="318"/>
      <c r="G181" s="44"/>
      <c r="H181" s="44"/>
      <c r="I181" s="44"/>
      <c r="J181" s="44"/>
      <c r="K181" s="44"/>
      <c r="L181" s="44"/>
      <c r="M181" s="44"/>
      <c r="N181" s="44"/>
      <c r="O181" s="302"/>
      <c r="P181" s="302"/>
    </row>
    <row r="182" spans="1:16" ht="12.75">
      <c r="A182" s="118" t="s">
        <v>73</v>
      </c>
      <c r="B182" s="154"/>
      <c r="C182" s="317"/>
      <c r="D182" s="316"/>
      <c r="E182" s="213">
        <v>0</v>
      </c>
      <c r="F182" s="318">
        <v>0</v>
      </c>
      <c r="G182" s="44"/>
      <c r="H182" s="44"/>
      <c r="I182" s="44"/>
      <c r="J182" s="44"/>
      <c r="K182" s="44"/>
      <c r="L182" s="44"/>
      <c r="M182" s="44"/>
      <c r="N182" s="44"/>
      <c r="O182" s="300">
        <v>30111029750</v>
      </c>
      <c r="P182" s="300">
        <v>20180608143436</v>
      </c>
    </row>
    <row r="183" spans="1:16" ht="12.75">
      <c r="A183" s="118" t="s">
        <v>74</v>
      </c>
      <c r="B183" s="154"/>
      <c r="C183" s="317"/>
      <c r="D183" s="316"/>
      <c r="E183" s="213">
        <v>175724.62</v>
      </c>
      <c r="F183" s="318">
        <v>176664.64</v>
      </c>
      <c r="G183" s="44">
        <v>177874.64</v>
      </c>
      <c r="H183" s="44">
        <v>178214.64</v>
      </c>
      <c r="I183" s="44">
        <v>179934.64</v>
      </c>
      <c r="J183" s="44"/>
      <c r="K183" s="44"/>
      <c r="L183" s="44"/>
      <c r="M183" s="44"/>
      <c r="N183" s="44"/>
      <c r="O183" s="304">
        <v>30111029760</v>
      </c>
      <c r="P183" s="300">
        <v>20180608143753</v>
      </c>
    </row>
    <row r="184" spans="1:16" ht="12.75">
      <c r="A184" s="118" t="s">
        <v>75</v>
      </c>
      <c r="B184" s="154"/>
      <c r="C184" s="317"/>
      <c r="D184" s="316"/>
      <c r="E184" s="213">
        <v>77677.7</v>
      </c>
      <c r="F184" s="318">
        <v>77677.7</v>
      </c>
      <c r="G184" s="44">
        <v>77677.7</v>
      </c>
      <c r="H184" s="44">
        <v>77677.7</v>
      </c>
      <c r="I184" s="44">
        <v>77677.7</v>
      </c>
      <c r="J184" s="44"/>
      <c r="K184" s="44"/>
      <c r="L184" s="44"/>
      <c r="M184" s="44"/>
      <c r="N184" s="44"/>
      <c r="O184" s="310">
        <v>30111029770</v>
      </c>
      <c r="P184" s="300">
        <v>20180608150946</v>
      </c>
    </row>
    <row r="185" spans="1:16" ht="12.75">
      <c r="A185" s="118" t="s">
        <v>76</v>
      </c>
      <c r="B185" s="154"/>
      <c r="C185" s="317"/>
      <c r="D185" s="316"/>
      <c r="E185" s="213">
        <v>0</v>
      </c>
      <c r="F185" s="318">
        <v>9545</v>
      </c>
      <c r="G185" s="44">
        <v>10100</v>
      </c>
      <c r="H185" s="44">
        <v>3885</v>
      </c>
      <c r="I185" s="44">
        <v>10290</v>
      </c>
      <c r="J185" s="44"/>
      <c r="K185" s="44"/>
      <c r="L185" s="44"/>
      <c r="M185" s="44"/>
      <c r="N185" s="44"/>
      <c r="O185" s="304">
        <v>30111029780</v>
      </c>
      <c r="P185" s="300">
        <v>20180608151125</v>
      </c>
    </row>
    <row r="186" spans="1:16" ht="12.75">
      <c r="A186" s="118" t="s">
        <v>77</v>
      </c>
      <c r="B186" s="154"/>
      <c r="C186" s="317"/>
      <c r="D186" s="316"/>
      <c r="E186" s="213">
        <v>9795</v>
      </c>
      <c r="F186" s="318">
        <v>0</v>
      </c>
      <c r="G186" s="44">
        <v>0</v>
      </c>
      <c r="H186" s="44"/>
      <c r="I186" s="44"/>
      <c r="J186" s="44"/>
      <c r="K186" s="44"/>
      <c r="L186" s="44"/>
      <c r="M186" s="44"/>
      <c r="N186" s="44"/>
      <c r="O186" s="309">
        <v>30111029550</v>
      </c>
      <c r="P186" s="300">
        <v>20170503034643</v>
      </c>
    </row>
    <row r="187" spans="1:16" ht="12.75">
      <c r="A187" s="118" t="s">
        <v>78</v>
      </c>
      <c r="B187" s="154"/>
      <c r="C187" s="317"/>
      <c r="D187" s="321"/>
      <c r="E187" s="213">
        <v>8105</v>
      </c>
      <c r="F187" s="44">
        <v>7075</v>
      </c>
      <c r="G187" s="318">
        <v>6100</v>
      </c>
      <c r="H187" s="44">
        <v>6100</v>
      </c>
      <c r="I187" s="44">
        <v>6100</v>
      </c>
      <c r="J187" s="44"/>
      <c r="K187" s="44"/>
      <c r="L187" s="44"/>
      <c r="M187" s="44"/>
      <c r="N187" s="44"/>
      <c r="O187" s="304">
        <v>30111029800</v>
      </c>
      <c r="P187" s="300">
        <v>20180608151223</v>
      </c>
    </row>
    <row r="188" spans="1:16" ht="12.75">
      <c r="A188" s="4"/>
      <c r="C188" s="322">
        <f>555553+3231.52</f>
        <v>558784.52</v>
      </c>
      <c r="D188" s="323">
        <f>C188+5500</f>
        <v>564284.52</v>
      </c>
      <c r="E188" s="252"/>
      <c r="F188" s="323"/>
      <c r="G188" s="323"/>
      <c r="H188" s="252"/>
      <c r="I188" s="323"/>
      <c r="J188" s="323"/>
      <c r="K188" s="323"/>
      <c r="L188" s="323"/>
      <c r="M188" s="323"/>
      <c r="N188" s="323"/>
      <c r="O188" s="39"/>
      <c r="P188" s="39"/>
    </row>
    <row r="189" spans="1:14" ht="12.75">
      <c r="A189" s="4"/>
      <c r="E189" s="158"/>
      <c r="F189" s="158"/>
      <c r="H189" s="158"/>
      <c r="I189" s="158"/>
      <c r="J189" s="158"/>
      <c r="K189" s="158"/>
      <c r="L189" s="158"/>
      <c r="M189" s="158"/>
      <c r="N189" s="158"/>
    </row>
    <row r="190" spans="1:14" ht="13.5" thickBot="1">
      <c r="A190" s="22"/>
      <c r="C190" s="228">
        <f aca="true" t="shared" si="6" ref="C190:H190">SUM(C166:C188)</f>
        <v>4729108</v>
      </c>
      <c r="D190" s="228">
        <f t="shared" si="6"/>
        <v>4738688</v>
      </c>
      <c r="E190" s="228">
        <f t="shared" si="6"/>
        <v>4751095.090000001</v>
      </c>
      <c r="F190" s="228">
        <f t="shared" si="6"/>
        <v>4769640.11</v>
      </c>
      <c r="G190" s="228">
        <f t="shared" si="6"/>
        <v>4785385.11</v>
      </c>
      <c r="H190" s="228">
        <f t="shared" si="6"/>
        <v>4781411.999999999</v>
      </c>
      <c r="I190" s="228">
        <f>SUM(I166:I188)</f>
        <v>4798329.8</v>
      </c>
      <c r="J190" s="228">
        <f>SUM(J166:J188)</f>
        <v>0</v>
      </c>
      <c r="K190" s="228">
        <f>SUM(K166:K188)</f>
        <v>0</v>
      </c>
      <c r="L190" s="228">
        <f>SUM(L166:L188)</f>
        <v>0</v>
      </c>
      <c r="M190" s="228">
        <f>SUM(M166:M187)</f>
        <v>0</v>
      </c>
      <c r="N190" s="228">
        <f>SUM(N166:N188)</f>
        <v>0</v>
      </c>
    </row>
    <row r="191" ht="13.5" thickTop="1"/>
    <row r="192" spans="5:12" ht="12.75">
      <c r="E192" s="23">
        <f aca="true" t="shared" si="7" ref="E192:L192">E190-D190</f>
        <v>12407.090000000782</v>
      </c>
      <c r="F192" s="23">
        <f t="shared" si="7"/>
        <v>18545.019999999553</v>
      </c>
      <c r="G192" s="23">
        <f t="shared" si="7"/>
        <v>15745</v>
      </c>
      <c r="H192" s="23">
        <f t="shared" si="7"/>
        <v>-3973.1100000012666</v>
      </c>
      <c r="I192" s="23">
        <f t="shared" si="7"/>
        <v>16917.800000000745</v>
      </c>
      <c r="J192" s="23">
        <f t="shared" si="7"/>
        <v>-4798329.8</v>
      </c>
      <c r="K192" s="23">
        <f t="shared" si="7"/>
        <v>0</v>
      </c>
      <c r="L192" s="23">
        <f t="shared" si="7"/>
        <v>0</v>
      </c>
    </row>
    <row r="194" spans="1:15" ht="12.75">
      <c r="A194" s="39" t="s">
        <v>566</v>
      </c>
      <c r="E194" s="44">
        <f>E166+E167-D166-D167</f>
        <v>-10501.509999999776</v>
      </c>
      <c r="F194" s="44">
        <f>F166+F167-E166-E167</f>
        <v>19465</v>
      </c>
      <c r="G194" s="44">
        <f>G166+G167-F166-F167</f>
        <v>14875.000000000466</v>
      </c>
      <c r="H194" s="44">
        <f>H166+H167-G166-G167</f>
        <v>9522.789999999572</v>
      </c>
      <c r="I194" s="44">
        <f>I166+I167-H166-H167</f>
        <v>-9098.000000000466</v>
      </c>
      <c r="J194" s="23">
        <f>SUM(J166+J167-I166-I167)</f>
        <v>-4198666.76</v>
      </c>
      <c r="M194" s="23">
        <f>M166+M167-L166-L167</f>
        <v>0</v>
      </c>
      <c r="N194" s="23">
        <f>N166+N167-M166-M167</f>
        <v>0</v>
      </c>
      <c r="O194" s="23"/>
    </row>
    <row r="195" spans="1:14" ht="12.75">
      <c r="A195" s="39" t="s">
        <v>567</v>
      </c>
      <c r="E195" s="44">
        <f>E190-E166-E167-D188</f>
        <v>22908.60000000056</v>
      </c>
      <c r="F195" s="44">
        <f>F190-E190-F194</f>
        <v>-919.980000000447</v>
      </c>
      <c r="G195" s="44">
        <f>G190-F190-G194</f>
        <v>869.9999999995343</v>
      </c>
      <c r="H195" s="44">
        <f>H190-G190-H194</f>
        <v>-13495.900000000838</v>
      </c>
      <c r="I195" s="44">
        <f>I190-H190-I194</f>
        <v>26015.80000000121</v>
      </c>
      <c r="J195" s="23">
        <f>SUM(J190-J166-J167+I166+I167-I190)</f>
        <v>-599663.04</v>
      </c>
      <c r="M195" s="23">
        <f>M190-L190-M194</f>
        <v>0</v>
      </c>
      <c r="N195" s="23">
        <f>N190-M190+69363</f>
        <v>69363</v>
      </c>
    </row>
    <row r="196" ht="12.75">
      <c r="E196" s="324"/>
    </row>
  </sheetData>
  <sheetProtection/>
  <printOptions gridLines="1"/>
  <pageMargins left="0.7480314960629921" right="0.7480314960629921" top="0.35433070866141736" bottom="0.3937007874015748" header="0.15748031496062992" footer="0.15748031496062992"/>
  <pageSetup horizontalDpi="300" verticalDpi="300" orientation="landscape" paperSize="9" scale="59" r:id="rId1"/>
  <headerFooter alignWithMargins="0">
    <oddHeader>&amp;C&amp;"Arial,Bold"&amp;11&amp;A</oddHeader>
    <oddFooter>&amp;R&amp;P</oddFooter>
  </headerFooter>
  <rowBreaks count="1" manualBreakCount="1"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M18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5.140625" style="43" customWidth="1"/>
    <col min="3" max="3" width="22.57421875" style="0" customWidth="1"/>
  </cols>
  <sheetData>
    <row r="3" spans="2:3" ht="12.75">
      <c r="B3" s="325" t="s">
        <v>609</v>
      </c>
      <c r="C3" s="300">
        <v>20170503034427</v>
      </c>
    </row>
    <row r="5" spans="2:3" ht="12.75">
      <c r="B5" s="43">
        <v>43374</v>
      </c>
      <c r="C5" s="44">
        <v>3581934.12</v>
      </c>
    </row>
    <row r="6" ht="12.75">
      <c r="C6" s="44"/>
    </row>
    <row r="7" spans="2:13" ht="12.75">
      <c r="B7" s="306">
        <v>43435</v>
      </c>
      <c r="C7" s="44">
        <v>5475471.8</v>
      </c>
      <c r="M7" t="s">
        <v>546</v>
      </c>
    </row>
    <row r="8" ht="12.75">
      <c r="C8" s="44"/>
    </row>
    <row r="9" spans="2:3" ht="12.75">
      <c r="B9" s="43">
        <v>43524</v>
      </c>
      <c r="C9" s="44">
        <v>3217523.36</v>
      </c>
    </row>
    <row r="10" spans="2:3" ht="12.75">
      <c r="B10" s="43">
        <v>43585</v>
      </c>
      <c r="C10" s="44">
        <v>3444688.71</v>
      </c>
    </row>
    <row r="11" spans="2:3" ht="12.75">
      <c r="B11" s="43">
        <v>43616</v>
      </c>
      <c r="C11" s="44">
        <v>3708382.66</v>
      </c>
    </row>
    <row r="12" spans="2:3" ht="12.75">
      <c r="B12" s="43">
        <v>43646</v>
      </c>
      <c r="C12" s="44">
        <v>2678137.83</v>
      </c>
    </row>
    <row r="13" spans="2:3" ht="12.75">
      <c r="B13" s="43">
        <v>43707</v>
      </c>
      <c r="C13" s="44">
        <v>2636346.58</v>
      </c>
    </row>
    <row r="14" spans="2:3" ht="12.75">
      <c r="B14" s="43">
        <v>43738</v>
      </c>
      <c r="C14" s="44">
        <v>3665286.02</v>
      </c>
    </row>
    <row r="15" spans="2:3" ht="12.75">
      <c r="B15" s="43">
        <v>43769</v>
      </c>
      <c r="C15" s="44">
        <v>3609184.12</v>
      </c>
    </row>
    <row r="16" spans="2:3" ht="12.75">
      <c r="B16" s="306">
        <v>43799</v>
      </c>
      <c r="C16" s="44">
        <v>3559244.75</v>
      </c>
    </row>
    <row r="17" spans="2:3" ht="12.75">
      <c r="B17" s="43">
        <v>43830</v>
      </c>
      <c r="C17" s="44">
        <v>3460512.92</v>
      </c>
    </row>
    <row r="18" spans="2:3" ht="12.75">
      <c r="B18" s="43">
        <v>43861</v>
      </c>
      <c r="C18" s="44">
        <v>4171528.89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J36"/>
  <sheetViews>
    <sheetView zoomScale="90" zoomScaleNormal="90" zoomScalePageLayoutView="0" workbookViewId="0" topLeftCell="A1">
      <pane xSplit="1" ySplit="4" topLeftCell="G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J5" sqref="GJ5"/>
    </sheetView>
  </sheetViews>
  <sheetFormatPr defaultColWidth="9.140625" defaultRowHeight="12.75"/>
  <cols>
    <col min="1" max="1" width="33.7109375" style="0" customWidth="1"/>
    <col min="2" max="2" width="20.421875" style="99" customWidth="1"/>
    <col min="3" max="3" width="20.00390625" style="99" bestFit="1" customWidth="1"/>
    <col min="4" max="4" width="11.8515625" style="0" customWidth="1"/>
    <col min="5" max="5" width="17.140625" style="99" customWidth="1"/>
    <col min="6" max="6" width="20.57421875" style="99" bestFit="1" customWidth="1"/>
    <col min="7" max="7" width="20.421875" style="99" bestFit="1" customWidth="1"/>
    <col min="8" max="8" width="20.00390625" style="99" bestFit="1" customWidth="1"/>
    <col min="9" max="9" width="11.8515625" style="0" customWidth="1"/>
    <col min="10" max="10" width="17.140625" style="99" customWidth="1"/>
    <col min="11" max="11" width="20.57421875" style="99" bestFit="1" customWidth="1"/>
    <col min="12" max="12" width="20.421875" style="99" bestFit="1" customWidth="1"/>
    <col min="13" max="13" width="20.00390625" style="99" bestFit="1" customWidth="1"/>
    <col min="14" max="14" width="11.8515625" style="0" customWidth="1"/>
    <col min="15" max="15" width="17.140625" style="99" customWidth="1"/>
    <col min="16" max="16" width="20.57421875" style="99" bestFit="1" customWidth="1"/>
    <col min="17" max="17" width="20.421875" style="99" bestFit="1" customWidth="1"/>
    <col min="18" max="18" width="20.00390625" style="99" bestFit="1" customWidth="1"/>
    <col min="19" max="19" width="11.8515625" style="0" customWidth="1"/>
    <col min="20" max="20" width="17.140625" style="99" customWidth="1"/>
    <col min="21" max="21" width="20.57421875" style="99" bestFit="1" customWidth="1"/>
    <col min="22" max="22" width="20.421875" style="99" bestFit="1" customWidth="1"/>
    <col min="23" max="23" width="20.00390625" style="99" bestFit="1" customWidth="1"/>
    <col min="24" max="24" width="11.8515625" style="0" customWidth="1"/>
    <col min="25" max="25" width="17.140625" style="99" customWidth="1"/>
    <col min="26" max="26" width="20.57421875" style="99" bestFit="1" customWidth="1"/>
    <col min="27" max="27" width="20.421875" style="99" bestFit="1" customWidth="1"/>
    <col min="28" max="28" width="20.00390625" style="99" bestFit="1" customWidth="1"/>
    <col min="29" max="29" width="11.8515625" style="0" customWidth="1"/>
    <col min="30" max="30" width="17.140625" style="99" customWidth="1"/>
    <col min="31" max="31" width="20.57421875" style="99" bestFit="1" customWidth="1"/>
    <col min="32" max="32" width="20.421875" style="99" bestFit="1" customWidth="1"/>
    <col min="33" max="33" width="20.00390625" style="99" bestFit="1" customWidth="1"/>
    <col min="34" max="34" width="11.8515625" style="0" customWidth="1"/>
    <col min="35" max="35" width="17.140625" style="99" customWidth="1"/>
    <col min="36" max="36" width="20.57421875" style="99" bestFit="1" customWidth="1"/>
    <col min="37" max="37" width="20.421875" style="99" bestFit="1" customWidth="1"/>
    <col min="38" max="38" width="20.00390625" style="99" bestFit="1" customWidth="1"/>
    <col min="39" max="39" width="11.8515625" style="0" customWidth="1"/>
    <col min="40" max="40" width="17.140625" style="99" customWidth="1"/>
    <col min="41" max="41" width="20.57421875" style="99" bestFit="1" customWidth="1"/>
    <col min="42" max="42" width="20.421875" style="99" bestFit="1" customWidth="1"/>
    <col min="43" max="43" width="20.00390625" style="99" bestFit="1" customWidth="1"/>
    <col min="44" max="44" width="11.8515625" style="0" customWidth="1"/>
    <col min="45" max="45" width="17.140625" style="99" customWidth="1"/>
    <col min="46" max="46" width="20.57421875" style="99" bestFit="1" customWidth="1"/>
    <col min="47" max="47" width="20.421875" style="99" bestFit="1" customWidth="1"/>
    <col min="48" max="48" width="20.00390625" style="99" bestFit="1" customWidth="1"/>
    <col min="49" max="49" width="11.8515625" style="0" customWidth="1"/>
    <col min="50" max="50" width="17.140625" style="99" customWidth="1"/>
    <col min="51" max="51" width="20.57421875" style="99" bestFit="1" customWidth="1"/>
    <col min="52" max="52" width="20.421875" style="99" bestFit="1" customWidth="1"/>
    <col min="53" max="53" width="20.00390625" style="99" bestFit="1" customWidth="1"/>
    <col min="54" max="54" width="11.8515625" style="0" customWidth="1"/>
    <col min="55" max="55" width="17.140625" style="99" customWidth="1"/>
    <col min="56" max="56" width="20.57421875" style="99" bestFit="1" customWidth="1"/>
    <col min="57" max="57" width="20.421875" style="99" bestFit="1" customWidth="1"/>
    <col min="58" max="58" width="20.00390625" style="99" bestFit="1" customWidth="1"/>
    <col min="59" max="59" width="11.8515625" style="0" customWidth="1"/>
    <col min="60" max="60" width="17.140625" style="99" customWidth="1"/>
    <col min="61" max="61" width="20.57421875" style="99" bestFit="1" customWidth="1"/>
    <col min="62" max="62" width="20.421875" style="99" bestFit="1" customWidth="1"/>
    <col min="63" max="63" width="20.00390625" style="99" bestFit="1" customWidth="1"/>
    <col min="64" max="64" width="11.8515625" style="0" customWidth="1"/>
    <col min="65" max="65" width="17.140625" style="99" customWidth="1"/>
    <col min="66" max="66" width="20.57421875" style="99" bestFit="1" customWidth="1"/>
    <col min="67" max="67" width="20.421875" style="99" bestFit="1" customWidth="1"/>
    <col min="68" max="68" width="20.00390625" style="99" bestFit="1" customWidth="1"/>
    <col min="69" max="69" width="11.8515625" style="0" customWidth="1"/>
    <col min="70" max="70" width="17.140625" style="99" customWidth="1"/>
    <col min="71" max="71" width="20.57421875" style="99" bestFit="1" customWidth="1"/>
    <col min="72" max="72" width="20.421875" style="99" bestFit="1" customWidth="1"/>
    <col min="73" max="73" width="20.00390625" style="99" bestFit="1" customWidth="1"/>
    <col min="74" max="74" width="11.8515625" style="0" customWidth="1"/>
    <col min="75" max="75" width="17.140625" style="99" customWidth="1"/>
    <col min="76" max="76" width="20.57421875" style="99" bestFit="1" customWidth="1"/>
    <col min="77" max="77" width="20.421875" style="99" bestFit="1" customWidth="1"/>
    <col min="78" max="78" width="20.00390625" style="99" bestFit="1" customWidth="1"/>
    <col min="79" max="79" width="11.8515625" style="0" customWidth="1"/>
    <col min="80" max="80" width="17.140625" style="99" customWidth="1"/>
    <col min="81" max="81" width="20.57421875" style="99" bestFit="1" customWidth="1"/>
    <col min="82" max="82" width="20.421875" style="99" bestFit="1" customWidth="1"/>
    <col min="83" max="83" width="20.00390625" style="99" bestFit="1" customWidth="1"/>
    <col min="84" max="84" width="11.8515625" style="0" customWidth="1"/>
    <col min="85" max="85" width="17.140625" style="99" customWidth="1"/>
    <col min="86" max="86" width="20.57421875" style="99" bestFit="1" customWidth="1"/>
    <col min="87" max="87" width="20.421875" style="99" bestFit="1" customWidth="1"/>
    <col min="88" max="88" width="20.00390625" style="99" bestFit="1" customWidth="1"/>
    <col min="89" max="89" width="11.8515625" style="0" customWidth="1"/>
    <col min="90" max="90" width="17.140625" style="99" customWidth="1"/>
    <col min="91" max="91" width="20.57421875" style="99" bestFit="1" customWidth="1"/>
    <col min="92" max="92" width="20.421875" style="99" bestFit="1" customWidth="1"/>
    <col min="93" max="93" width="20.00390625" style="99" bestFit="1" customWidth="1"/>
    <col min="94" max="94" width="11.8515625" style="0" customWidth="1"/>
    <col min="95" max="95" width="17.140625" style="99" customWidth="1"/>
    <col min="96" max="96" width="20.57421875" style="99" bestFit="1" customWidth="1"/>
    <col min="97" max="97" width="20.421875" style="99" bestFit="1" customWidth="1"/>
    <col min="98" max="98" width="20.00390625" style="99" bestFit="1" customWidth="1"/>
    <col min="99" max="99" width="11.8515625" style="0" customWidth="1"/>
    <col min="100" max="100" width="17.140625" style="99" customWidth="1"/>
    <col min="101" max="101" width="20.57421875" style="99" bestFit="1" customWidth="1"/>
    <col min="102" max="102" width="20.421875" style="99" bestFit="1" customWidth="1"/>
    <col min="103" max="103" width="20.00390625" style="99" bestFit="1" customWidth="1"/>
    <col min="104" max="104" width="11.8515625" style="0" customWidth="1"/>
    <col min="105" max="105" width="17.140625" style="99" customWidth="1"/>
    <col min="106" max="106" width="20.57421875" style="99" bestFit="1" customWidth="1"/>
    <col min="107" max="107" width="20.421875" style="99" bestFit="1" customWidth="1"/>
    <col min="108" max="108" width="20.00390625" style="99" bestFit="1" customWidth="1"/>
    <col min="109" max="109" width="11.8515625" style="0" customWidth="1"/>
    <col min="110" max="110" width="17.140625" style="99" customWidth="1"/>
    <col min="111" max="111" width="20.57421875" style="99" bestFit="1" customWidth="1"/>
    <col min="112" max="112" width="20.421875" style="99" bestFit="1" customWidth="1"/>
    <col min="113" max="113" width="20.00390625" style="99" bestFit="1" customWidth="1"/>
    <col min="114" max="114" width="11.8515625" style="0" customWidth="1"/>
    <col min="115" max="115" width="17.140625" style="99" customWidth="1"/>
    <col min="116" max="116" width="20.57421875" style="99" bestFit="1" customWidth="1"/>
    <col min="117" max="117" width="20.421875" style="99" bestFit="1" customWidth="1"/>
    <col min="118" max="118" width="20.00390625" style="99" bestFit="1" customWidth="1"/>
    <col min="119" max="119" width="11.8515625" style="0" customWidth="1"/>
    <col min="120" max="120" width="17.140625" style="99" customWidth="1"/>
    <col min="121" max="121" width="20.57421875" style="99" bestFit="1" customWidth="1"/>
    <col min="122" max="122" width="20.421875" style="99" bestFit="1" customWidth="1"/>
    <col min="123" max="123" width="20.00390625" style="99" bestFit="1" customWidth="1"/>
    <col min="124" max="124" width="11.8515625" style="0" customWidth="1"/>
    <col min="125" max="125" width="17.140625" style="99" customWidth="1"/>
    <col min="126" max="126" width="20.57421875" style="99" bestFit="1" customWidth="1"/>
    <col min="127" max="127" width="20.421875" style="99" bestFit="1" customWidth="1"/>
    <col min="128" max="128" width="20.00390625" style="99" bestFit="1" customWidth="1"/>
    <col min="129" max="129" width="11.8515625" style="0" customWidth="1"/>
    <col min="130" max="130" width="17.140625" style="99" customWidth="1"/>
    <col min="131" max="131" width="20.57421875" style="99" bestFit="1" customWidth="1"/>
    <col min="132" max="132" width="20.421875" style="99" bestFit="1" customWidth="1"/>
    <col min="133" max="133" width="20.00390625" style="99" bestFit="1" customWidth="1"/>
    <col min="134" max="134" width="11.8515625" style="0" customWidth="1"/>
    <col min="135" max="135" width="17.140625" style="99" customWidth="1"/>
    <col min="136" max="136" width="20.57421875" style="99" bestFit="1" customWidth="1"/>
    <col min="137" max="137" width="20.421875" style="99" bestFit="1" customWidth="1"/>
    <col min="138" max="138" width="20.00390625" style="99" bestFit="1" customWidth="1"/>
    <col min="139" max="139" width="11.8515625" style="0" customWidth="1"/>
    <col min="140" max="140" width="17.140625" style="99" customWidth="1"/>
    <col min="141" max="141" width="20.57421875" style="99" bestFit="1" customWidth="1"/>
    <col min="142" max="142" width="20.421875" style="99" bestFit="1" customWidth="1"/>
    <col min="143" max="143" width="20.00390625" style="99" bestFit="1" customWidth="1"/>
    <col min="144" max="144" width="11.8515625" style="0" customWidth="1"/>
    <col min="145" max="145" width="17.140625" style="99" customWidth="1"/>
    <col min="146" max="146" width="20.57421875" style="99" bestFit="1" customWidth="1"/>
    <col min="147" max="147" width="20.421875" style="99" bestFit="1" customWidth="1"/>
    <col min="148" max="148" width="20.00390625" style="99" bestFit="1" customWidth="1"/>
    <col min="149" max="149" width="11.8515625" style="0" customWidth="1"/>
    <col min="150" max="150" width="17.140625" style="99" customWidth="1"/>
    <col min="151" max="151" width="20.57421875" style="99" bestFit="1" customWidth="1"/>
    <col min="152" max="152" width="20.421875" style="99" bestFit="1" customWidth="1"/>
    <col min="153" max="153" width="20.00390625" style="99" bestFit="1" customWidth="1"/>
    <col min="154" max="154" width="11.8515625" style="0" customWidth="1"/>
    <col min="155" max="155" width="17.140625" style="99" customWidth="1"/>
    <col min="156" max="156" width="20.57421875" style="99" bestFit="1" customWidth="1"/>
    <col min="157" max="157" width="20.421875" style="99" bestFit="1" customWidth="1"/>
    <col min="158" max="158" width="20.00390625" style="99" bestFit="1" customWidth="1"/>
    <col min="159" max="159" width="11.8515625" style="0" customWidth="1"/>
    <col min="160" max="160" width="17.140625" style="99" customWidth="1"/>
    <col min="161" max="161" width="20.57421875" style="99" bestFit="1" customWidth="1"/>
    <col min="162" max="162" width="20.421875" style="99" bestFit="1" customWidth="1"/>
    <col min="163" max="163" width="20.00390625" style="99" bestFit="1" customWidth="1"/>
    <col min="164" max="164" width="11.8515625" style="0" customWidth="1"/>
    <col min="165" max="165" width="17.140625" style="99" customWidth="1"/>
    <col min="166" max="166" width="20.57421875" style="99" bestFit="1" customWidth="1"/>
    <col min="167" max="167" width="20.421875" style="99" bestFit="1" customWidth="1"/>
    <col min="168" max="168" width="20.00390625" style="99" bestFit="1" customWidth="1"/>
    <col min="169" max="169" width="11.8515625" style="0" customWidth="1"/>
    <col min="170" max="170" width="17.140625" style="99" customWidth="1"/>
    <col min="171" max="171" width="20.57421875" style="99" bestFit="1" customWidth="1"/>
    <col min="172" max="172" width="20.421875" style="99" bestFit="1" customWidth="1"/>
    <col min="173" max="173" width="20.00390625" style="99" bestFit="1" customWidth="1"/>
    <col min="174" max="174" width="11.8515625" style="0" customWidth="1"/>
    <col min="175" max="175" width="17.140625" style="99" customWidth="1"/>
    <col min="176" max="176" width="20.57421875" style="99" bestFit="1" customWidth="1"/>
    <col min="177" max="177" width="20.421875" style="99" bestFit="1" customWidth="1"/>
    <col min="178" max="178" width="20.00390625" style="99" bestFit="1" customWidth="1"/>
    <col min="179" max="179" width="11.8515625" style="0" customWidth="1"/>
    <col min="180" max="180" width="17.140625" style="99" customWidth="1"/>
    <col min="181" max="181" width="20.57421875" style="99" bestFit="1" customWidth="1"/>
    <col min="182" max="182" width="20.421875" style="99" bestFit="1" customWidth="1"/>
    <col min="183" max="183" width="20.00390625" style="99" bestFit="1" customWidth="1"/>
    <col min="184" max="184" width="11.8515625" style="0" customWidth="1"/>
    <col min="185" max="185" width="17.140625" style="99" customWidth="1"/>
    <col min="186" max="186" width="20.57421875" style="99" bestFit="1" customWidth="1"/>
    <col min="187" max="187" width="20.421875" style="99" bestFit="1" customWidth="1"/>
    <col min="188" max="188" width="20.00390625" style="99" bestFit="1" customWidth="1"/>
    <col min="189" max="189" width="11.8515625" style="0" customWidth="1"/>
    <col min="190" max="190" width="17.140625" style="99" customWidth="1"/>
    <col min="191" max="191" width="20.57421875" style="99" bestFit="1" customWidth="1"/>
    <col min="192" max="192" width="20.421875" style="99" bestFit="1" customWidth="1"/>
  </cols>
  <sheetData>
    <row r="1" spans="4:189" ht="12.75">
      <c r="D1" s="1" t="s">
        <v>0</v>
      </c>
      <c r="I1" s="1" t="s">
        <v>0</v>
      </c>
      <c r="N1" s="1" t="s">
        <v>0</v>
      </c>
      <c r="S1" s="1" t="s">
        <v>0</v>
      </c>
      <c r="X1" s="1" t="s">
        <v>0</v>
      </c>
      <c r="AC1" s="1" t="s">
        <v>0</v>
      </c>
      <c r="AH1" s="1" t="s">
        <v>0</v>
      </c>
      <c r="AM1" s="1" t="s">
        <v>0</v>
      </c>
      <c r="AR1" s="1" t="s">
        <v>0</v>
      </c>
      <c r="AW1" s="1" t="s">
        <v>0</v>
      </c>
      <c r="BB1" s="1" t="s">
        <v>0</v>
      </c>
      <c r="BG1" s="1" t="s">
        <v>0</v>
      </c>
      <c r="BL1" s="1" t="s">
        <v>0</v>
      </c>
      <c r="BQ1" s="1" t="s">
        <v>0</v>
      </c>
      <c r="BV1" s="1" t="s">
        <v>0</v>
      </c>
      <c r="CA1" s="1" t="s">
        <v>0</v>
      </c>
      <c r="CF1" s="1" t="s">
        <v>0</v>
      </c>
      <c r="CK1" s="1" t="s">
        <v>0</v>
      </c>
      <c r="CP1" s="1" t="s">
        <v>0</v>
      </c>
      <c r="CU1" s="1" t="s">
        <v>0</v>
      </c>
      <c r="CZ1" s="1" t="s">
        <v>0</v>
      </c>
      <c r="DE1" s="1" t="s">
        <v>0</v>
      </c>
      <c r="DJ1" s="1" t="s">
        <v>0</v>
      </c>
      <c r="DO1" s="1" t="s">
        <v>0</v>
      </c>
      <c r="DT1" s="1" t="s">
        <v>0</v>
      </c>
      <c r="DY1" s="1" t="s">
        <v>0</v>
      </c>
      <c r="ED1" s="1" t="s">
        <v>0</v>
      </c>
      <c r="EI1" s="1" t="s">
        <v>0</v>
      </c>
      <c r="EN1" s="1" t="s">
        <v>0</v>
      </c>
      <c r="ES1" s="1" t="s">
        <v>0</v>
      </c>
      <c r="EX1" s="1" t="s">
        <v>0</v>
      </c>
      <c r="FC1" s="1" t="s">
        <v>0</v>
      </c>
      <c r="FH1" s="1" t="s">
        <v>0</v>
      </c>
      <c r="FM1" s="1" t="s">
        <v>0</v>
      </c>
      <c r="FR1" s="1" t="s">
        <v>0</v>
      </c>
      <c r="FW1" s="1" t="s">
        <v>0</v>
      </c>
      <c r="GB1" s="1" t="s">
        <v>0</v>
      </c>
      <c r="GG1" s="1" t="s">
        <v>0</v>
      </c>
    </row>
    <row r="2" ht="13.5" thickBot="1"/>
    <row r="3" spans="2:192" ht="12.75">
      <c r="B3" s="101" t="s">
        <v>4</v>
      </c>
      <c r="C3" s="100" t="s">
        <v>5</v>
      </c>
      <c r="D3" s="6" t="s">
        <v>27</v>
      </c>
      <c r="E3" s="100" t="s">
        <v>17</v>
      </c>
      <c r="F3" s="100" t="s">
        <v>6</v>
      </c>
      <c r="G3" s="101" t="s">
        <v>4</v>
      </c>
      <c r="H3" s="100" t="s">
        <v>5</v>
      </c>
      <c r="I3" s="6" t="s">
        <v>27</v>
      </c>
      <c r="J3" s="100" t="s">
        <v>17</v>
      </c>
      <c r="K3" s="100" t="s">
        <v>6</v>
      </c>
      <c r="L3" s="101" t="s">
        <v>4</v>
      </c>
      <c r="M3" s="100" t="s">
        <v>5</v>
      </c>
      <c r="N3" s="6" t="s">
        <v>27</v>
      </c>
      <c r="O3" s="100" t="s">
        <v>17</v>
      </c>
      <c r="P3" s="100" t="s">
        <v>6</v>
      </c>
      <c r="Q3" s="101" t="s">
        <v>4</v>
      </c>
      <c r="R3" s="100" t="s">
        <v>5</v>
      </c>
      <c r="S3" s="6" t="s">
        <v>27</v>
      </c>
      <c r="T3" s="100" t="s">
        <v>17</v>
      </c>
      <c r="U3" s="100" t="s">
        <v>6</v>
      </c>
      <c r="V3" s="101" t="s">
        <v>4</v>
      </c>
      <c r="W3" s="100" t="s">
        <v>5</v>
      </c>
      <c r="X3" s="6" t="s">
        <v>27</v>
      </c>
      <c r="Y3" s="100" t="s">
        <v>17</v>
      </c>
      <c r="Z3" s="100" t="s">
        <v>6</v>
      </c>
      <c r="AA3" s="101" t="s">
        <v>4</v>
      </c>
      <c r="AB3" s="100" t="s">
        <v>5</v>
      </c>
      <c r="AC3" s="6" t="s">
        <v>27</v>
      </c>
      <c r="AD3" s="100" t="s">
        <v>17</v>
      </c>
      <c r="AE3" s="100" t="s">
        <v>6</v>
      </c>
      <c r="AF3" s="101" t="s">
        <v>4</v>
      </c>
      <c r="AG3" s="100" t="s">
        <v>5</v>
      </c>
      <c r="AH3" s="6" t="s">
        <v>27</v>
      </c>
      <c r="AI3" s="100" t="s">
        <v>17</v>
      </c>
      <c r="AJ3" s="100" t="s">
        <v>6</v>
      </c>
      <c r="AK3" s="101" t="s">
        <v>4</v>
      </c>
      <c r="AL3" s="100" t="s">
        <v>5</v>
      </c>
      <c r="AM3" s="6" t="s">
        <v>27</v>
      </c>
      <c r="AN3" s="100" t="s">
        <v>17</v>
      </c>
      <c r="AO3" s="100" t="s">
        <v>6</v>
      </c>
      <c r="AP3" s="101" t="s">
        <v>4</v>
      </c>
      <c r="AQ3" s="100" t="s">
        <v>5</v>
      </c>
      <c r="AR3" s="6" t="s">
        <v>27</v>
      </c>
      <c r="AS3" s="100" t="s">
        <v>17</v>
      </c>
      <c r="AT3" s="100" t="s">
        <v>6</v>
      </c>
      <c r="AU3" s="101" t="s">
        <v>4</v>
      </c>
      <c r="AV3" s="100" t="s">
        <v>5</v>
      </c>
      <c r="AW3" s="6" t="s">
        <v>27</v>
      </c>
      <c r="AX3" s="100" t="s">
        <v>17</v>
      </c>
      <c r="AY3" s="100" t="s">
        <v>6</v>
      </c>
      <c r="AZ3" s="101" t="s">
        <v>4</v>
      </c>
      <c r="BA3" s="100" t="s">
        <v>5</v>
      </c>
      <c r="BB3" s="6" t="s">
        <v>27</v>
      </c>
      <c r="BC3" s="100" t="s">
        <v>17</v>
      </c>
      <c r="BD3" s="100" t="s">
        <v>6</v>
      </c>
      <c r="BE3" s="101" t="s">
        <v>4</v>
      </c>
      <c r="BF3" s="100" t="s">
        <v>5</v>
      </c>
      <c r="BG3" s="6" t="s">
        <v>27</v>
      </c>
      <c r="BH3" s="100" t="s">
        <v>17</v>
      </c>
      <c r="BI3" s="100" t="s">
        <v>6</v>
      </c>
      <c r="BJ3" s="101" t="s">
        <v>4</v>
      </c>
      <c r="BK3" s="100" t="s">
        <v>5</v>
      </c>
      <c r="BL3" s="6" t="s">
        <v>27</v>
      </c>
      <c r="BM3" s="100" t="s">
        <v>17</v>
      </c>
      <c r="BN3" s="100" t="s">
        <v>6</v>
      </c>
      <c r="BO3" s="101" t="s">
        <v>4</v>
      </c>
      <c r="BP3" s="100" t="s">
        <v>5</v>
      </c>
      <c r="BQ3" s="6" t="s">
        <v>27</v>
      </c>
      <c r="BR3" s="100" t="s">
        <v>17</v>
      </c>
      <c r="BS3" s="100" t="s">
        <v>6</v>
      </c>
      <c r="BT3" s="101" t="s">
        <v>4</v>
      </c>
      <c r="BU3" s="100" t="s">
        <v>5</v>
      </c>
      <c r="BV3" s="6" t="s">
        <v>27</v>
      </c>
      <c r="BW3" s="100" t="s">
        <v>17</v>
      </c>
      <c r="BX3" s="100" t="s">
        <v>6</v>
      </c>
      <c r="BY3" s="101" t="s">
        <v>4</v>
      </c>
      <c r="BZ3" s="100" t="s">
        <v>5</v>
      </c>
      <c r="CA3" s="6" t="s">
        <v>27</v>
      </c>
      <c r="CB3" s="100" t="s">
        <v>17</v>
      </c>
      <c r="CC3" s="100" t="s">
        <v>6</v>
      </c>
      <c r="CD3" s="101" t="s">
        <v>4</v>
      </c>
      <c r="CE3" s="100" t="s">
        <v>5</v>
      </c>
      <c r="CF3" s="6" t="s">
        <v>27</v>
      </c>
      <c r="CG3" s="100" t="s">
        <v>17</v>
      </c>
      <c r="CH3" s="100" t="s">
        <v>6</v>
      </c>
      <c r="CI3" s="101" t="s">
        <v>4</v>
      </c>
      <c r="CJ3" s="100" t="s">
        <v>5</v>
      </c>
      <c r="CK3" s="6" t="s">
        <v>27</v>
      </c>
      <c r="CL3" s="100" t="s">
        <v>17</v>
      </c>
      <c r="CM3" s="100" t="s">
        <v>6</v>
      </c>
      <c r="CN3" s="101" t="s">
        <v>4</v>
      </c>
      <c r="CO3" s="100" t="s">
        <v>5</v>
      </c>
      <c r="CP3" s="6" t="s">
        <v>27</v>
      </c>
      <c r="CQ3" s="100" t="s">
        <v>17</v>
      </c>
      <c r="CR3" s="100" t="s">
        <v>6</v>
      </c>
      <c r="CS3" s="101" t="s">
        <v>4</v>
      </c>
      <c r="CT3" s="100" t="s">
        <v>5</v>
      </c>
      <c r="CU3" s="6" t="s">
        <v>27</v>
      </c>
      <c r="CV3" s="100" t="s">
        <v>17</v>
      </c>
      <c r="CW3" s="100" t="s">
        <v>6</v>
      </c>
      <c r="CX3" s="101" t="s">
        <v>4</v>
      </c>
      <c r="CY3" s="100" t="s">
        <v>5</v>
      </c>
      <c r="CZ3" s="6" t="s">
        <v>27</v>
      </c>
      <c r="DA3" s="100" t="s">
        <v>17</v>
      </c>
      <c r="DB3" s="100" t="s">
        <v>6</v>
      </c>
      <c r="DC3" s="101" t="s">
        <v>4</v>
      </c>
      <c r="DD3" s="100" t="s">
        <v>5</v>
      </c>
      <c r="DE3" s="6" t="s">
        <v>27</v>
      </c>
      <c r="DF3" s="100" t="s">
        <v>17</v>
      </c>
      <c r="DG3" s="100" t="s">
        <v>6</v>
      </c>
      <c r="DH3" s="101" t="s">
        <v>4</v>
      </c>
      <c r="DI3" s="100" t="s">
        <v>5</v>
      </c>
      <c r="DJ3" s="6" t="s">
        <v>27</v>
      </c>
      <c r="DK3" s="100" t="s">
        <v>17</v>
      </c>
      <c r="DL3" s="100" t="s">
        <v>6</v>
      </c>
      <c r="DM3" s="101" t="s">
        <v>4</v>
      </c>
      <c r="DN3" s="100" t="s">
        <v>5</v>
      </c>
      <c r="DO3" s="6" t="s">
        <v>27</v>
      </c>
      <c r="DP3" s="100" t="s">
        <v>17</v>
      </c>
      <c r="DQ3" s="100" t="s">
        <v>6</v>
      </c>
      <c r="DR3" s="101" t="s">
        <v>4</v>
      </c>
      <c r="DS3" s="100" t="s">
        <v>5</v>
      </c>
      <c r="DT3" s="6" t="s">
        <v>27</v>
      </c>
      <c r="DU3" s="100" t="s">
        <v>17</v>
      </c>
      <c r="DV3" s="100" t="s">
        <v>6</v>
      </c>
      <c r="DW3" s="101" t="s">
        <v>4</v>
      </c>
      <c r="DX3" s="100" t="s">
        <v>5</v>
      </c>
      <c r="DY3" s="6" t="s">
        <v>27</v>
      </c>
      <c r="DZ3" s="100" t="s">
        <v>17</v>
      </c>
      <c r="EA3" s="100" t="s">
        <v>6</v>
      </c>
      <c r="EB3" s="101" t="s">
        <v>4</v>
      </c>
      <c r="EC3" s="100" t="s">
        <v>5</v>
      </c>
      <c r="ED3" s="6" t="s">
        <v>27</v>
      </c>
      <c r="EE3" s="100" t="s">
        <v>17</v>
      </c>
      <c r="EF3" s="100" t="s">
        <v>6</v>
      </c>
      <c r="EG3" s="101" t="s">
        <v>4</v>
      </c>
      <c r="EH3" s="100" t="s">
        <v>5</v>
      </c>
      <c r="EI3" s="6" t="s">
        <v>27</v>
      </c>
      <c r="EJ3" s="100" t="s">
        <v>17</v>
      </c>
      <c r="EK3" s="100" t="s">
        <v>6</v>
      </c>
      <c r="EL3" s="101" t="s">
        <v>4</v>
      </c>
      <c r="EM3" s="100" t="s">
        <v>5</v>
      </c>
      <c r="EN3" s="6" t="s">
        <v>27</v>
      </c>
      <c r="EO3" s="100" t="s">
        <v>17</v>
      </c>
      <c r="EP3" s="100" t="s">
        <v>6</v>
      </c>
      <c r="EQ3" s="101" t="s">
        <v>4</v>
      </c>
      <c r="ER3" s="100" t="s">
        <v>5</v>
      </c>
      <c r="ES3" s="6" t="s">
        <v>27</v>
      </c>
      <c r="ET3" s="100" t="s">
        <v>17</v>
      </c>
      <c r="EU3" s="100" t="s">
        <v>6</v>
      </c>
      <c r="EV3" s="101" t="s">
        <v>4</v>
      </c>
      <c r="EW3" s="100" t="s">
        <v>5</v>
      </c>
      <c r="EX3" s="6" t="s">
        <v>27</v>
      </c>
      <c r="EY3" s="100" t="s">
        <v>17</v>
      </c>
      <c r="EZ3" s="100" t="s">
        <v>6</v>
      </c>
      <c r="FA3" s="101" t="s">
        <v>4</v>
      </c>
      <c r="FB3" s="100" t="s">
        <v>5</v>
      </c>
      <c r="FC3" s="6" t="s">
        <v>27</v>
      </c>
      <c r="FD3" s="100" t="s">
        <v>17</v>
      </c>
      <c r="FE3" s="100" t="s">
        <v>6</v>
      </c>
      <c r="FF3" s="101" t="s">
        <v>4</v>
      </c>
      <c r="FG3" s="100" t="s">
        <v>5</v>
      </c>
      <c r="FH3" s="6" t="s">
        <v>27</v>
      </c>
      <c r="FI3" s="100" t="s">
        <v>17</v>
      </c>
      <c r="FJ3" s="100" t="s">
        <v>6</v>
      </c>
      <c r="FK3" s="101" t="s">
        <v>4</v>
      </c>
      <c r="FL3" s="100" t="s">
        <v>5</v>
      </c>
      <c r="FM3" s="6" t="s">
        <v>27</v>
      </c>
      <c r="FN3" s="100" t="s">
        <v>17</v>
      </c>
      <c r="FO3" s="100" t="s">
        <v>6</v>
      </c>
      <c r="FP3" s="101" t="s">
        <v>4</v>
      </c>
      <c r="FQ3" s="100" t="s">
        <v>5</v>
      </c>
      <c r="FR3" s="6" t="s">
        <v>27</v>
      </c>
      <c r="FS3" s="100" t="s">
        <v>17</v>
      </c>
      <c r="FT3" s="100" t="s">
        <v>6</v>
      </c>
      <c r="FU3" s="101" t="s">
        <v>4</v>
      </c>
      <c r="FV3" s="100" t="s">
        <v>5</v>
      </c>
      <c r="FW3" s="6" t="s">
        <v>27</v>
      </c>
      <c r="FX3" s="100" t="s">
        <v>17</v>
      </c>
      <c r="FY3" s="100" t="s">
        <v>6</v>
      </c>
      <c r="FZ3" s="101" t="s">
        <v>4</v>
      </c>
      <c r="GA3" s="100" t="s">
        <v>5</v>
      </c>
      <c r="GB3" s="6" t="s">
        <v>27</v>
      </c>
      <c r="GC3" s="100" t="s">
        <v>17</v>
      </c>
      <c r="GD3" s="100" t="s">
        <v>6</v>
      </c>
      <c r="GE3" s="101" t="s">
        <v>4</v>
      </c>
      <c r="GF3" s="100" t="s">
        <v>5</v>
      </c>
      <c r="GG3" s="6" t="s">
        <v>27</v>
      </c>
      <c r="GH3" s="100" t="s">
        <v>17</v>
      </c>
      <c r="GI3" s="100" t="s">
        <v>6</v>
      </c>
      <c r="GJ3" s="101" t="s">
        <v>4</v>
      </c>
    </row>
    <row r="4" spans="2:192" ht="13.5" thickBot="1">
      <c r="B4" s="155" t="s">
        <v>439</v>
      </c>
      <c r="C4" s="102" t="s">
        <v>12</v>
      </c>
      <c r="D4" s="5" t="s">
        <v>28</v>
      </c>
      <c r="E4" s="102"/>
      <c r="F4" s="102" t="s">
        <v>7</v>
      </c>
      <c r="G4" s="155" t="s">
        <v>454</v>
      </c>
      <c r="H4" s="102" t="s">
        <v>12</v>
      </c>
      <c r="I4" s="5" t="s">
        <v>28</v>
      </c>
      <c r="J4" s="102"/>
      <c r="K4" s="102" t="s">
        <v>7</v>
      </c>
      <c r="L4" s="155" t="s">
        <v>451</v>
      </c>
      <c r="M4" s="102" t="s">
        <v>12</v>
      </c>
      <c r="N4" s="5" t="s">
        <v>28</v>
      </c>
      <c r="O4" s="102"/>
      <c r="P4" s="102" t="s">
        <v>7</v>
      </c>
      <c r="Q4" s="155" t="s">
        <v>455</v>
      </c>
      <c r="R4" s="102" t="s">
        <v>12</v>
      </c>
      <c r="S4" s="5" t="s">
        <v>28</v>
      </c>
      <c r="T4" s="102"/>
      <c r="U4" s="102" t="s">
        <v>7</v>
      </c>
      <c r="V4" s="155" t="s">
        <v>459</v>
      </c>
      <c r="W4" s="102" t="s">
        <v>12</v>
      </c>
      <c r="X4" s="5" t="s">
        <v>28</v>
      </c>
      <c r="Y4" s="102"/>
      <c r="Z4" s="102" t="s">
        <v>7</v>
      </c>
      <c r="AA4" s="155" t="s">
        <v>461</v>
      </c>
      <c r="AB4" s="102" t="s">
        <v>12</v>
      </c>
      <c r="AC4" s="5" t="s">
        <v>28</v>
      </c>
      <c r="AD4" s="102"/>
      <c r="AE4" s="102" t="s">
        <v>7</v>
      </c>
      <c r="AF4" s="155" t="s">
        <v>466</v>
      </c>
      <c r="AG4" s="102" t="s">
        <v>12</v>
      </c>
      <c r="AH4" s="5" t="s">
        <v>28</v>
      </c>
      <c r="AI4" s="102"/>
      <c r="AJ4" s="102" t="s">
        <v>7</v>
      </c>
      <c r="AK4" s="155" t="s">
        <v>470</v>
      </c>
      <c r="AL4" s="102" t="s">
        <v>12</v>
      </c>
      <c r="AM4" s="5" t="s">
        <v>28</v>
      </c>
      <c r="AN4" s="102"/>
      <c r="AO4" s="102" t="s">
        <v>7</v>
      </c>
      <c r="AP4" s="155" t="s">
        <v>474</v>
      </c>
      <c r="AQ4" s="102" t="s">
        <v>12</v>
      </c>
      <c r="AR4" s="5" t="s">
        <v>28</v>
      </c>
      <c r="AS4" s="102"/>
      <c r="AT4" s="102" t="s">
        <v>7</v>
      </c>
      <c r="AU4" s="155" t="s">
        <v>482</v>
      </c>
      <c r="AV4" s="102" t="s">
        <v>12</v>
      </c>
      <c r="AW4" s="5" t="s">
        <v>28</v>
      </c>
      <c r="AX4" s="102"/>
      <c r="AY4" s="102" t="s">
        <v>7</v>
      </c>
      <c r="AZ4" s="155" t="s">
        <v>485</v>
      </c>
      <c r="BA4" s="102" t="s">
        <v>12</v>
      </c>
      <c r="BB4" s="5" t="s">
        <v>28</v>
      </c>
      <c r="BC4" s="102"/>
      <c r="BD4" s="102" t="s">
        <v>7</v>
      </c>
      <c r="BE4" s="155" t="s">
        <v>502</v>
      </c>
      <c r="BF4" s="102" t="s">
        <v>12</v>
      </c>
      <c r="BG4" s="5" t="s">
        <v>28</v>
      </c>
      <c r="BH4" s="102"/>
      <c r="BI4" s="102" t="s">
        <v>7</v>
      </c>
      <c r="BJ4" s="155" t="s">
        <v>500</v>
      </c>
      <c r="BK4" s="102" t="s">
        <v>12</v>
      </c>
      <c r="BL4" s="5" t="s">
        <v>28</v>
      </c>
      <c r="BM4" s="102"/>
      <c r="BN4" s="102" t="s">
        <v>7</v>
      </c>
      <c r="BO4" s="155" t="s">
        <v>504</v>
      </c>
      <c r="BP4" s="102" t="s">
        <v>12</v>
      </c>
      <c r="BQ4" s="5" t="s">
        <v>28</v>
      </c>
      <c r="BR4" s="102"/>
      <c r="BS4" s="102" t="s">
        <v>7</v>
      </c>
      <c r="BT4" s="155" t="s">
        <v>508</v>
      </c>
      <c r="BU4" s="102" t="s">
        <v>12</v>
      </c>
      <c r="BV4" s="5" t="s">
        <v>28</v>
      </c>
      <c r="BW4" s="102"/>
      <c r="BX4" s="102" t="s">
        <v>7</v>
      </c>
      <c r="BY4" s="155" t="s">
        <v>510</v>
      </c>
      <c r="BZ4" s="102" t="s">
        <v>12</v>
      </c>
      <c r="CA4" s="5" t="s">
        <v>28</v>
      </c>
      <c r="CB4" s="102"/>
      <c r="CC4" s="102" t="s">
        <v>7</v>
      </c>
      <c r="CD4" s="155" t="s">
        <v>512</v>
      </c>
      <c r="CE4" s="102" t="s">
        <v>12</v>
      </c>
      <c r="CF4" s="5" t="s">
        <v>28</v>
      </c>
      <c r="CG4" s="102"/>
      <c r="CH4" s="102" t="s">
        <v>7</v>
      </c>
      <c r="CI4" s="155" t="s">
        <v>519</v>
      </c>
      <c r="CJ4" s="102" t="s">
        <v>12</v>
      </c>
      <c r="CK4" s="5" t="s">
        <v>28</v>
      </c>
      <c r="CL4" s="102"/>
      <c r="CM4" s="102" t="s">
        <v>7</v>
      </c>
      <c r="CN4" s="155" t="s">
        <v>523</v>
      </c>
      <c r="CO4" s="102" t="s">
        <v>12</v>
      </c>
      <c r="CP4" s="5" t="s">
        <v>28</v>
      </c>
      <c r="CQ4" s="102"/>
      <c r="CR4" s="102" t="s">
        <v>7</v>
      </c>
      <c r="CS4" s="155" t="s">
        <v>527</v>
      </c>
      <c r="CT4" s="102" t="s">
        <v>12</v>
      </c>
      <c r="CU4" s="5" t="s">
        <v>28</v>
      </c>
      <c r="CV4" s="102"/>
      <c r="CW4" s="102" t="s">
        <v>7</v>
      </c>
      <c r="CX4" s="155" t="s">
        <v>543</v>
      </c>
      <c r="CY4" s="102" t="s">
        <v>12</v>
      </c>
      <c r="CZ4" s="5" t="s">
        <v>28</v>
      </c>
      <c r="DA4" s="102"/>
      <c r="DB4" s="102" t="s">
        <v>7</v>
      </c>
      <c r="DC4" s="155" t="s">
        <v>538</v>
      </c>
      <c r="DD4" s="102" t="s">
        <v>12</v>
      </c>
      <c r="DE4" s="5" t="s">
        <v>28</v>
      </c>
      <c r="DF4" s="102"/>
      <c r="DG4" s="102" t="s">
        <v>7</v>
      </c>
      <c r="DH4" s="155" t="s">
        <v>541</v>
      </c>
      <c r="DI4" s="102" t="s">
        <v>12</v>
      </c>
      <c r="DJ4" s="5" t="s">
        <v>28</v>
      </c>
      <c r="DK4" s="102"/>
      <c r="DL4" s="102" t="s">
        <v>7</v>
      </c>
      <c r="DM4" s="155" t="s">
        <v>547</v>
      </c>
      <c r="DN4" s="102" t="s">
        <v>12</v>
      </c>
      <c r="DO4" s="5" t="s">
        <v>28</v>
      </c>
      <c r="DP4" s="102"/>
      <c r="DQ4" s="102" t="s">
        <v>7</v>
      </c>
      <c r="DR4" s="155" t="s">
        <v>552</v>
      </c>
      <c r="DS4" s="102" t="s">
        <v>12</v>
      </c>
      <c r="DT4" s="5" t="s">
        <v>28</v>
      </c>
      <c r="DU4" s="102"/>
      <c r="DV4" s="102" t="s">
        <v>7</v>
      </c>
      <c r="DW4" s="155" t="s">
        <v>557</v>
      </c>
      <c r="DX4" s="102" t="s">
        <v>12</v>
      </c>
      <c r="DY4" s="5" t="s">
        <v>28</v>
      </c>
      <c r="DZ4" s="102"/>
      <c r="EA4" s="102" t="s">
        <v>7</v>
      </c>
      <c r="EB4" s="155" t="s">
        <v>560</v>
      </c>
      <c r="EC4" s="102" t="s">
        <v>12</v>
      </c>
      <c r="ED4" s="5" t="s">
        <v>28</v>
      </c>
      <c r="EE4" s="102"/>
      <c r="EF4" s="102" t="s">
        <v>7</v>
      </c>
      <c r="EG4" s="155" t="s">
        <v>561</v>
      </c>
      <c r="EH4" s="102" t="s">
        <v>12</v>
      </c>
      <c r="EI4" s="5" t="s">
        <v>28</v>
      </c>
      <c r="EJ4" s="102"/>
      <c r="EK4" s="102" t="s">
        <v>7</v>
      </c>
      <c r="EL4" s="155" t="s">
        <v>565</v>
      </c>
      <c r="EM4" s="102" t="s">
        <v>12</v>
      </c>
      <c r="EN4" s="5" t="s">
        <v>28</v>
      </c>
      <c r="EO4" s="102"/>
      <c r="EP4" s="102" t="s">
        <v>7</v>
      </c>
      <c r="EQ4" s="155" t="s">
        <v>576</v>
      </c>
      <c r="ER4" s="102" t="s">
        <v>12</v>
      </c>
      <c r="ES4" s="5" t="s">
        <v>28</v>
      </c>
      <c r="ET4" s="102"/>
      <c r="EU4" s="102" t="s">
        <v>7</v>
      </c>
      <c r="EV4" s="155" t="s">
        <v>577</v>
      </c>
      <c r="EW4" s="102" t="s">
        <v>12</v>
      </c>
      <c r="EX4" s="5" t="s">
        <v>28</v>
      </c>
      <c r="EY4" s="102"/>
      <c r="EZ4" s="102" t="s">
        <v>7</v>
      </c>
      <c r="FA4" s="155" t="s">
        <v>579</v>
      </c>
      <c r="FB4" s="102" t="s">
        <v>12</v>
      </c>
      <c r="FC4" s="5" t="s">
        <v>28</v>
      </c>
      <c r="FD4" s="102"/>
      <c r="FE4" s="102" t="s">
        <v>7</v>
      </c>
      <c r="FF4" s="155" t="s">
        <v>583</v>
      </c>
      <c r="FG4" s="102" t="s">
        <v>12</v>
      </c>
      <c r="FH4" s="5" t="s">
        <v>28</v>
      </c>
      <c r="FI4" s="102"/>
      <c r="FJ4" s="102" t="s">
        <v>7</v>
      </c>
      <c r="FK4" s="155" t="s">
        <v>591</v>
      </c>
      <c r="FL4" s="102" t="s">
        <v>12</v>
      </c>
      <c r="FM4" s="5" t="s">
        <v>28</v>
      </c>
      <c r="FN4" s="102"/>
      <c r="FO4" s="102" t="s">
        <v>7</v>
      </c>
      <c r="FP4" s="155" t="s">
        <v>592</v>
      </c>
      <c r="FQ4" s="102" t="s">
        <v>12</v>
      </c>
      <c r="FR4" s="5" t="s">
        <v>28</v>
      </c>
      <c r="FS4" s="102"/>
      <c r="FT4" s="102" t="s">
        <v>7</v>
      </c>
      <c r="FU4" s="155" t="s">
        <v>597</v>
      </c>
      <c r="FV4" s="102" t="s">
        <v>12</v>
      </c>
      <c r="FW4" s="5" t="s">
        <v>28</v>
      </c>
      <c r="FX4" s="102"/>
      <c r="FY4" s="102" t="s">
        <v>7</v>
      </c>
      <c r="FZ4" s="155" t="s">
        <v>602</v>
      </c>
      <c r="GA4" s="102" t="s">
        <v>12</v>
      </c>
      <c r="GB4" s="5" t="s">
        <v>28</v>
      </c>
      <c r="GC4" s="102"/>
      <c r="GD4" s="102" t="s">
        <v>7</v>
      </c>
      <c r="GE4" s="155" t="s">
        <v>604</v>
      </c>
      <c r="GF4" s="102" t="s">
        <v>12</v>
      </c>
      <c r="GG4" s="5" t="s">
        <v>28</v>
      </c>
      <c r="GH4" s="102"/>
      <c r="GI4" s="102" t="s">
        <v>7</v>
      </c>
      <c r="GJ4" s="155" t="s">
        <v>607</v>
      </c>
    </row>
    <row r="5" spans="4:189" ht="12.75">
      <c r="D5" s="2"/>
      <c r="I5" s="2"/>
      <c r="N5" s="2"/>
      <c r="S5" s="2"/>
      <c r="X5" s="2"/>
      <c r="AC5" s="2"/>
      <c r="AH5" s="2"/>
      <c r="AM5" s="2"/>
      <c r="AR5" s="2"/>
      <c r="AW5" s="2"/>
      <c r="BB5" s="2"/>
      <c r="BG5" s="2"/>
      <c r="BL5" s="2"/>
      <c r="BQ5" s="2"/>
      <c r="BV5" s="2"/>
      <c r="CA5" s="2"/>
      <c r="CF5" s="2"/>
      <c r="CK5" s="2"/>
      <c r="CP5" s="2"/>
      <c r="CU5" s="2"/>
      <c r="CZ5" s="2"/>
      <c r="DE5" s="2"/>
      <c r="DJ5" s="2"/>
      <c r="DO5" s="2"/>
      <c r="DT5" s="2"/>
      <c r="DY5" s="2"/>
      <c r="ED5" s="2"/>
      <c r="EI5" s="2"/>
      <c r="EN5" s="2"/>
      <c r="ES5" s="2"/>
      <c r="EX5" s="2"/>
      <c r="FC5" s="2"/>
      <c r="FH5" s="2"/>
      <c r="FM5" s="2"/>
      <c r="FR5" s="2"/>
      <c r="FW5" s="2"/>
      <c r="GB5" s="2"/>
      <c r="GG5" s="2"/>
    </row>
    <row r="6" spans="1:192" ht="12.75">
      <c r="A6" t="s">
        <v>195</v>
      </c>
      <c r="B6" s="103">
        <v>47882743.33000002</v>
      </c>
      <c r="C6" s="99">
        <v>0</v>
      </c>
      <c r="D6" s="2"/>
      <c r="E6" s="99">
        <v>0</v>
      </c>
      <c r="F6" s="99">
        <v>-1269188.17</v>
      </c>
      <c r="G6" s="103">
        <f>SUM(B6:F6)</f>
        <v>46613555.16000002</v>
      </c>
      <c r="H6" s="99">
        <v>0</v>
      </c>
      <c r="I6" s="2"/>
      <c r="J6" s="99">
        <v>0</v>
      </c>
      <c r="K6" s="99">
        <v>-558328.4</v>
      </c>
      <c r="L6" s="103">
        <f>SUM(G6:K6)</f>
        <v>46055226.76000002</v>
      </c>
      <c r="M6" s="99">
        <v>0</v>
      </c>
      <c r="N6" s="2"/>
      <c r="O6" s="99">
        <v>0</v>
      </c>
      <c r="P6" s="99">
        <v>-137381.76</v>
      </c>
      <c r="Q6" s="103">
        <f>SUM(L6:P6)</f>
        <v>45917845.00000002</v>
      </c>
      <c r="R6" s="99">
        <v>0</v>
      </c>
      <c r="S6" s="2"/>
      <c r="T6" s="99">
        <v>0</v>
      </c>
      <c r="U6" s="99">
        <v>-411768.05</v>
      </c>
      <c r="V6" s="103">
        <f>SUM(Q6:U6)</f>
        <v>45506076.950000025</v>
      </c>
      <c r="W6" s="99">
        <v>0</v>
      </c>
      <c r="X6" s="2"/>
      <c r="Y6" s="99">
        <v>0</v>
      </c>
      <c r="Z6" s="99">
        <v>-218470.55</v>
      </c>
      <c r="AA6" s="103">
        <f>SUM(V6:Z6)</f>
        <v>45287606.40000003</v>
      </c>
      <c r="AB6" s="99">
        <v>0</v>
      </c>
      <c r="AC6" s="2"/>
      <c r="AD6" s="99">
        <v>0</v>
      </c>
      <c r="AE6" s="99">
        <v>-2818520.84</v>
      </c>
      <c r="AF6" s="103">
        <f>SUM(AA6:AE6)</f>
        <v>42469085.56000003</v>
      </c>
      <c r="AG6" s="99">
        <v>0</v>
      </c>
      <c r="AH6" s="2"/>
      <c r="AI6" s="99">
        <v>0</v>
      </c>
      <c r="AJ6" s="99">
        <v>-2500922.6</v>
      </c>
      <c r="AK6" s="103">
        <f>SUM(AF6:AJ6)</f>
        <v>39968162.96000003</v>
      </c>
      <c r="AL6" s="99">
        <v>0</v>
      </c>
      <c r="AM6" s="2"/>
      <c r="AN6" s="99">
        <v>0</v>
      </c>
      <c r="AO6" s="99">
        <f>-11995395.49-192216.39</f>
        <v>-12187611.88</v>
      </c>
      <c r="AP6" s="103">
        <f>SUM(AK6:AO6)</f>
        <v>27780551.080000028</v>
      </c>
      <c r="AQ6" s="99">
        <v>0</v>
      </c>
      <c r="AR6" s="2"/>
      <c r="AS6" s="99">
        <v>0</v>
      </c>
      <c r="AT6" s="99">
        <v>-771367.94</v>
      </c>
      <c r="AU6" s="103">
        <f>SUM(AP6:AT6)</f>
        <v>27009183.140000027</v>
      </c>
      <c r="AV6" s="99">
        <v>0</v>
      </c>
      <c r="AW6" s="2"/>
      <c r="AX6" s="99">
        <v>0</v>
      </c>
      <c r="AY6" s="99">
        <v>-422046.24</v>
      </c>
      <c r="AZ6" s="103">
        <f>SUM(AU6:AY6)</f>
        <v>26587136.90000003</v>
      </c>
      <c r="BA6" s="99">
        <v>0</v>
      </c>
      <c r="BB6" s="2"/>
      <c r="BC6" s="99">
        <v>0</v>
      </c>
      <c r="BD6" s="99">
        <v>-1337472.73</v>
      </c>
      <c r="BE6" s="103">
        <f>SUM(AZ6:BD6)</f>
        <v>25249664.170000028</v>
      </c>
      <c r="BF6" s="99">
        <v>0</v>
      </c>
      <c r="BG6" s="2"/>
      <c r="BH6" s="99">
        <v>0</v>
      </c>
      <c r="BI6" s="99">
        <v>-79860</v>
      </c>
      <c r="BJ6" s="103">
        <f>SUM(BE6:BI6)</f>
        <v>25169804.170000028</v>
      </c>
      <c r="BK6" s="99">
        <v>0</v>
      </c>
      <c r="BL6" s="2"/>
      <c r="BM6" s="99">
        <v>0</v>
      </c>
      <c r="BN6" s="99">
        <v>-1794516.24</v>
      </c>
      <c r="BO6" s="103">
        <f>SUM(BJ6:BN6)</f>
        <v>23375287.93000003</v>
      </c>
      <c r="BP6" s="99">
        <v>0</v>
      </c>
      <c r="BQ6" s="2"/>
      <c r="BR6" s="99">
        <v>0</v>
      </c>
      <c r="BS6" s="99">
        <v>-5108978.55</v>
      </c>
      <c r="BT6" s="103">
        <f>SUM(BO6:BS6)</f>
        <v>18266309.38000003</v>
      </c>
      <c r="BU6" s="99">
        <v>0</v>
      </c>
      <c r="BV6" s="2"/>
      <c r="BW6" s="99">
        <v>0</v>
      </c>
      <c r="BX6" s="99">
        <v>-1792453.83</v>
      </c>
      <c r="BY6" s="103">
        <f>SUM(BT6:BX6)</f>
        <v>16473855.550000029</v>
      </c>
      <c r="BZ6" s="99">
        <v>0</v>
      </c>
      <c r="CA6" s="2"/>
      <c r="CB6" s="99">
        <v>0</v>
      </c>
      <c r="CC6" s="99">
        <v>-355273.73</v>
      </c>
      <c r="CD6" s="103">
        <f>SUM(BY6:CC6)</f>
        <v>16118581.820000028</v>
      </c>
      <c r="CE6" s="99">
        <v>0</v>
      </c>
      <c r="CF6" s="2"/>
      <c r="CG6" s="99">
        <v>0</v>
      </c>
      <c r="CH6" s="99">
        <v>-92713.66</v>
      </c>
      <c r="CI6" s="103">
        <f>SUM(CD6:CH6)</f>
        <v>16025868.160000028</v>
      </c>
      <c r="CJ6" s="99">
        <v>0</v>
      </c>
      <c r="CK6" s="2"/>
      <c r="CL6" s="99">
        <v>0</v>
      </c>
      <c r="CM6" s="99">
        <v>0</v>
      </c>
      <c r="CN6" s="103">
        <f>SUM(CI6:CM6)</f>
        <v>16025868.160000028</v>
      </c>
      <c r="CO6" s="99">
        <v>0</v>
      </c>
      <c r="CP6" s="2"/>
      <c r="CQ6" s="99">
        <v>0</v>
      </c>
      <c r="CR6" s="99">
        <v>-1629657.54</v>
      </c>
      <c r="CS6" s="103">
        <f>SUM(CN6:CR6)</f>
        <v>14396210.620000027</v>
      </c>
      <c r="CT6" s="99">
        <v>0</v>
      </c>
      <c r="CU6" s="2"/>
      <c r="CV6" s="99">
        <v>0</v>
      </c>
      <c r="CW6" s="99">
        <v>-7954000.3</v>
      </c>
      <c r="CX6" s="103">
        <f>SUM(CS6:CW6)</f>
        <v>6442210.320000027</v>
      </c>
      <c r="CY6" s="99">
        <v>0</v>
      </c>
      <c r="CZ6" s="2"/>
      <c r="DA6" s="99">
        <v>0</v>
      </c>
      <c r="DB6" s="99">
        <v>0</v>
      </c>
      <c r="DC6" s="103">
        <f>SUM(CX6:DB6)</f>
        <v>6442210.320000027</v>
      </c>
      <c r="DD6" s="99">
        <v>0</v>
      </c>
      <c r="DE6" s="2"/>
      <c r="DF6" s="99">
        <v>0</v>
      </c>
      <c r="DG6" s="99">
        <v>0</v>
      </c>
      <c r="DH6" s="103">
        <f>SUM(DC6:DG6)</f>
        <v>6442210.320000027</v>
      </c>
      <c r="DI6" s="99">
        <v>0</v>
      </c>
      <c r="DJ6" s="2"/>
      <c r="DK6" s="99">
        <v>0</v>
      </c>
      <c r="DL6" s="99">
        <v>0</v>
      </c>
      <c r="DM6" s="103">
        <f>SUM(DH6:DL6)</f>
        <v>6442210.320000027</v>
      </c>
      <c r="DN6" s="99">
        <v>0</v>
      </c>
      <c r="DO6" s="2"/>
      <c r="DP6" s="99">
        <v>0</v>
      </c>
      <c r="DQ6" s="99">
        <v>-376025</v>
      </c>
      <c r="DR6" s="103">
        <f>SUM(DM6:DQ6)</f>
        <v>6066185.320000027</v>
      </c>
      <c r="DS6" s="99">
        <v>0</v>
      </c>
      <c r="DT6" s="2"/>
      <c r="DU6" s="99">
        <v>0</v>
      </c>
      <c r="DV6" s="99">
        <v>0</v>
      </c>
      <c r="DW6" s="103">
        <f>SUM(DR6:DV6)</f>
        <v>6066185.320000027</v>
      </c>
      <c r="DX6" s="99">
        <v>0</v>
      </c>
      <c r="DY6" s="2"/>
      <c r="DZ6" s="99">
        <v>0</v>
      </c>
      <c r="EA6" s="99">
        <v>-150411</v>
      </c>
      <c r="EB6" s="103">
        <f>SUM(DW6:EA6)</f>
        <v>5915774.320000027</v>
      </c>
      <c r="EC6" s="99">
        <v>0</v>
      </c>
      <c r="ED6" s="2"/>
      <c r="EE6" s="99">
        <v>0</v>
      </c>
      <c r="EF6" s="99">
        <v>0</v>
      </c>
      <c r="EG6" s="103">
        <f>SUM(EB6:EF6)</f>
        <v>5915774.320000027</v>
      </c>
      <c r="EH6" s="99">
        <v>0</v>
      </c>
      <c r="EI6" s="2"/>
      <c r="EJ6" s="99">
        <v>0</v>
      </c>
      <c r="EK6" s="99">
        <v>-1115176</v>
      </c>
      <c r="EL6" s="103">
        <f>SUM(EG6:EK6)</f>
        <v>4800598.320000027</v>
      </c>
      <c r="EM6" s="99">
        <v>0</v>
      </c>
      <c r="EN6" s="2"/>
      <c r="EO6" s="99">
        <v>0</v>
      </c>
      <c r="EP6" s="99">
        <v>-3376331</v>
      </c>
      <c r="EQ6" s="103">
        <f>SUM(EL6:EP6)</f>
        <v>1424267.3200000273</v>
      </c>
      <c r="ER6" s="99">
        <v>0</v>
      </c>
      <c r="ES6" s="2"/>
      <c r="ET6" s="99">
        <v>0</v>
      </c>
      <c r="EU6" s="99">
        <v>-186825</v>
      </c>
      <c r="EV6" s="103">
        <f>SUM(EQ6:EU6)</f>
        <v>1237442.3200000273</v>
      </c>
      <c r="EW6" s="99">
        <v>0</v>
      </c>
      <c r="EX6" s="2"/>
      <c r="EY6" s="99">
        <v>0</v>
      </c>
      <c r="EZ6" s="99">
        <v>-18207</v>
      </c>
      <c r="FA6" s="103">
        <f>SUM(EV6:EZ6)</f>
        <v>1219235.3200000273</v>
      </c>
      <c r="FB6" s="99">
        <v>0</v>
      </c>
      <c r="FC6" s="2"/>
      <c r="FD6" s="99">
        <v>0</v>
      </c>
      <c r="FE6" s="99">
        <v>-199234.32</v>
      </c>
      <c r="FF6" s="103">
        <f>SUM(FA6:FE6)</f>
        <v>1020001.0000000272</v>
      </c>
      <c r="FG6" s="99">
        <v>0</v>
      </c>
      <c r="FH6" s="2"/>
      <c r="FI6" s="99">
        <v>0</v>
      </c>
      <c r="FJ6" s="99">
        <v>-758208</v>
      </c>
      <c r="FK6" s="103">
        <f>SUM(FF6:FJ6)</f>
        <v>261793.00000002724</v>
      </c>
      <c r="FL6" s="99">
        <v>0</v>
      </c>
      <c r="FM6" s="2"/>
      <c r="FN6" s="99">
        <v>0</v>
      </c>
      <c r="FO6" s="99">
        <v>0</v>
      </c>
      <c r="FP6" s="103">
        <f>SUM(FK6:FO6)</f>
        <v>261793.00000002724</v>
      </c>
      <c r="FQ6" s="99">
        <v>0</v>
      </c>
      <c r="FR6" s="2"/>
      <c r="FS6" s="99">
        <v>0</v>
      </c>
      <c r="FT6" s="99">
        <v>0</v>
      </c>
      <c r="FU6" s="103">
        <f>SUM(FP6:FT6)</f>
        <v>261793.00000002724</v>
      </c>
      <c r="FV6" s="99">
        <v>0</v>
      </c>
      <c r="FW6" s="2"/>
      <c r="FX6" s="99">
        <v>0</v>
      </c>
      <c r="FY6" s="99">
        <v>0</v>
      </c>
      <c r="FZ6" s="103">
        <f>SUM(FU6:FY6)</f>
        <v>261793.00000002724</v>
      </c>
      <c r="GA6" s="99">
        <v>0</v>
      </c>
      <c r="GB6" s="2"/>
      <c r="GC6" s="99">
        <v>0</v>
      </c>
      <c r="GD6" s="99">
        <v>0</v>
      </c>
      <c r="GE6" s="103">
        <f>SUM(FZ6:GD6)</f>
        <v>261793.00000002724</v>
      </c>
      <c r="GF6" s="99">
        <v>0</v>
      </c>
      <c r="GG6" s="2"/>
      <c r="GH6" s="99">
        <v>0</v>
      </c>
      <c r="GI6" s="99">
        <v>0</v>
      </c>
      <c r="GJ6" s="103">
        <f>SUM(GE6:GI6)</f>
        <v>261793.00000002724</v>
      </c>
    </row>
    <row r="7" spans="1:192" ht="12.75">
      <c r="A7" t="s">
        <v>200</v>
      </c>
      <c r="B7" s="103">
        <v>0</v>
      </c>
      <c r="D7" s="2"/>
      <c r="F7" s="99">
        <v>0</v>
      </c>
      <c r="G7" s="103">
        <f aca="true" t="shared" si="0" ref="G7:G12">SUM(B7:F7)</f>
        <v>0</v>
      </c>
      <c r="I7" s="2"/>
      <c r="K7" s="99">
        <v>0</v>
      </c>
      <c r="L7" s="103">
        <f aca="true" t="shared" si="1" ref="L7:L12">SUM(G7:K7)</f>
        <v>0</v>
      </c>
      <c r="N7" s="2"/>
      <c r="P7" s="99">
        <v>0</v>
      </c>
      <c r="Q7" s="103">
        <f aca="true" t="shared" si="2" ref="Q7:Q12">SUM(L7:P7)</f>
        <v>0</v>
      </c>
      <c r="S7" s="2"/>
      <c r="U7" s="99">
        <v>0</v>
      </c>
      <c r="V7" s="103">
        <f aca="true" t="shared" si="3" ref="V7:V12">SUM(Q7:U7)</f>
        <v>0</v>
      </c>
      <c r="X7" s="2"/>
      <c r="Z7" s="99">
        <v>0</v>
      </c>
      <c r="AA7" s="103">
        <f aca="true" t="shared" si="4" ref="AA7:AA12">SUM(V7:Z7)</f>
        <v>0</v>
      </c>
      <c r="AC7" s="2"/>
      <c r="AE7" s="99">
        <v>0</v>
      </c>
      <c r="AF7" s="103">
        <f aca="true" t="shared" si="5" ref="AF7:AF12">SUM(AA7:AE7)</f>
        <v>0</v>
      </c>
      <c r="AH7" s="2"/>
      <c r="AJ7" s="99">
        <v>0</v>
      </c>
      <c r="AK7" s="103">
        <f aca="true" t="shared" si="6" ref="AK7:AK12">SUM(AF7:AJ7)</f>
        <v>0</v>
      </c>
      <c r="AM7" s="2"/>
      <c r="AO7" s="99">
        <v>0</v>
      </c>
      <c r="AP7" s="103">
        <f aca="true" t="shared" si="7" ref="AP7:AP12">SUM(AK7:AO7)</f>
        <v>0</v>
      </c>
      <c r="AR7" s="2"/>
      <c r="AT7" s="99">
        <v>0</v>
      </c>
      <c r="AU7" s="103">
        <f aca="true" t="shared" si="8" ref="AU7:AU12">SUM(AP7:AT7)</f>
        <v>0</v>
      </c>
      <c r="AW7" s="2"/>
      <c r="AY7" s="99">
        <v>0</v>
      </c>
      <c r="AZ7" s="103">
        <f aca="true" t="shared" si="9" ref="AZ7:AZ12">SUM(AU7:AY7)</f>
        <v>0</v>
      </c>
      <c r="BB7" s="2"/>
      <c r="BD7" s="99">
        <v>0</v>
      </c>
      <c r="BE7" s="103">
        <f aca="true" t="shared" si="10" ref="BE7:BE12">SUM(AZ7:BD7)</f>
        <v>0</v>
      </c>
      <c r="BG7" s="2"/>
      <c r="BI7" s="99">
        <v>0</v>
      </c>
      <c r="BJ7" s="103">
        <f aca="true" t="shared" si="11" ref="BJ7:BJ12">SUM(BE7:BI7)</f>
        <v>0</v>
      </c>
      <c r="BL7" s="2"/>
      <c r="BN7" s="99">
        <v>0</v>
      </c>
      <c r="BO7" s="103">
        <f aca="true" t="shared" si="12" ref="BO7:BO12">SUM(BJ7:BN7)</f>
        <v>0</v>
      </c>
      <c r="BQ7" s="2"/>
      <c r="BS7" s="99">
        <v>0</v>
      </c>
      <c r="BT7" s="103">
        <f aca="true" t="shared" si="13" ref="BT7:BT12">SUM(BO7:BS7)</f>
        <v>0</v>
      </c>
      <c r="BV7" s="2"/>
      <c r="BX7" s="99">
        <v>0</v>
      </c>
      <c r="BY7" s="103">
        <f aca="true" t="shared" si="14" ref="BY7:BY12">SUM(BT7:BX7)</f>
        <v>0</v>
      </c>
      <c r="CA7" s="2"/>
      <c r="CC7" s="99">
        <v>0</v>
      </c>
      <c r="CD7" s="103">
        <f aca="true" t="shared" si="15" ref="CD7:CD12">SUM(BY7:CC7)</f>
        <v>0</v>
      </c>
      <c r="CF7" s="2"/>
      <c r="CH7" s="99">
        <v>0</v>
      </c>
      <c r="CI7" s="103">
        <f aca="true" t="shared" si="16" ref="CI7:CI12">SUM(CD7:CH7)</f>
        <v>0</v>
      </c>
      <c r="CK7" s="2"/>
      <c r="CM7" s="99">
        <v>0</v>
      </c>
      <c r="CN7" s="103">
        <f aca="true" t="shared" si="17" ref="CN7:CN12">SUM(CI7:CM7)</f>
        <v>0</v>
      </c>
      <c r="CP7" s="2"/>
      <c r="CR7" s="99">
        <v>0</v>
      </c>
      <c r="CS7" s="103">
        <f aca="true" t="shared" si="18" ref="CS7:CS12">SUM(CN7:CR7)</f>
        <v>0</v>
      </c>
      <c r="CU7" s="2"/>
      <c r="CW7" s="99">
        <v>0</v>
      </c>
      <c r="CX7" s="103">
        <f aca="true" t="shared" si="19" ref="CX7:CX12">SUM(CS7:CW7)</f>
        <v>0</v>
      </c>
      <c r="CZ7" s="2"/>
      <c r="DB7" s="99">
        <v>0</v>
      </c>
      <c r="DC7" s="103">
        <f aca="true" t="shared" si="20" ref="DC7:DC12">SUM(CX7:DB7)</f>
        <v>0</v>
      </c>
      <c r="DE7" s="2"/>
      <c r="DG7" s="99">
        <v>0</v>
      </c>
      <c r="DH7" s="103">
        <f aca="true" t="shared" si="21" ref="DH7:DH12">SUM(DC7:DG7)</f>
        <v>0</v>
      </c>
      <c r="DJ7" s="2"/>
      <c r="DL7" s="99">
        <v>0</v>
      </c>
      <c r="DM7" s="103">
        <f aca="true" t="shared" si="22" ref="DM7:DM12">SUM(DH7:DL7)</f>
        <v>0</v>
      </c>
      <c r="DO7" s="2"/>
      <c r="DQ7" s="99">
        <v>0</v>
      </c>
      <c r="DR7" s="103">
        <f aca="true" t="shared" si="23" ref="DR7:DR12">SUM(DM7:DQ7)</f>
        <v>0</v>
      </c>
      <c r="DT7" s="2"/>
      <c r="DV7" s="99">
        <v>0</v>
      </c>
      <c r="DW7" s="103">
        <f aca="true" t="shared" si="24" ref="DW7:DW12">SUM(DR7:DV7)</f>
        <v>0</v>
      </c>
      <c r="DY7" s="2"/>
      <c r="EA7" s="99">
        <v>0</v>
      </c>
      <c r="EB7" s="103">
        <f aca="true" t="shared" si="25" ref="EB7:EB12">SUM(DW7:EA7)</f>
        <v>0</v>
      </c>
      <c r="ED7" s="2"/>
      <c r="EF7" s="99">
        <v>0</v>
      </c>
      <c r="EG7" s="103">
        <f aca="true" t="shared" si="26" ref="EG7:EG12">SUM(EB7:EF7)</f>
        <v>0</v>
      </c>
      <c r="EI7" s="2"/>
      <c r="EK7" s="99">
        <v>0</v>
      </c>
      <c r="EL7" s="103">
        <f aca="true" t="shared" si="27" ref="EL7:EL12">SUM(EG7:EK7)</f>
        <v>0</v>
      </c>
      <c r="EN7" s="2"/>
      <c r="EP7" s="99">
        <v>0</v>
      </c>
      <c r="EQ7" s="103">
        <f aca="true" t="shared" si="28" ref="EQ7:EQ12">SUM(EL7:EP7)</f>
        <v>0</v>
      </c>
      <c r="ES7" s="2"/>
      <c r="EU7" s="99">
        <v>0</v>
      </c>
      <c r="EV7" s="103">
        <f aca="true" t="shared" si="29" ref="EV7:EV12">SUM(EQ7:EU7)</f>
        <v>0</v>
      </c>
      <c r="EX7" s="2"/>
      <c r="EZ7" s="99">
        <v>0</v>
      </c>
      <c r="FA7" s="103">
        <f aca="true" t="shared" si="30" ref="FA7:FA12">SUM(EV7:EZ7)</f>
        <v>0</v>
      </c>
      <c r="FC7" s="2"/>
      <c r="FE7" s="99">
        <v>0</v>
      </c>
      <c r="FF7" s="103">
        <f aca="true" t="shared" si="31" ref="FF7:FF12">SUM(FA7:FE7)</f>
        <v>0</v>
      </c>
      <c r="FH7" s="2"/>
      <c r="FJ7" s="99">
        <v>0</v>
      </c>
      <c r="FK7" s="103">
        <f aca="true" t="shared" si="32" ref="FK7:FK12">SUM(FF7:FJ7)</f>
        <v>0</v>
      </c>
      <c r="FM7" s="2"/>
      <c r="FO7" s="99">
        <v>0</v>
      </c>
      <c r="FP7" s="103">
        <f aca="true" t="shared" si="33" ref="FP7:FP12">SUM(FK7:FO7)</f>
        <v>0</v>
      </c>
      <c r="FR7" s="2"/>
      <c r="FT7" s="99">
        <v>0</v>
      </c>
      <c r="FU7" s="103">
        <f aca="true" t="shared" si="34" ref="FU7:FU12">SUM(FP7:FT7)</f>
        <v>0</v>
      </c>
      <c r="FW7" s="2"/>
      <c r="FY7" s="99">
        <v>0</v>
      </c>
      <c r="FZ7" s="103">
        <f aca="true" t="shared" si="35" ref="FZ7:FZ12">SUM(FU7:FY7)</f>
        <v>0</v>
      </c>
      <c r="GB7" s="2"/>
      <c r="GD7" s="99">
        <v>0</v>
      </c>
      <c r="GE7" s="103">
        <f aca="true" t="shared" si="36" ref="GE7:GE12">SUM(FZ7:GD7)</f>
        <v>0</v>
      </c>
      <c r="GG7" s="2"/>
      <c r="GI7" s="99">
        <v>0</v>
      </c>
      <c r="GJ7" s="103">
        <f aca="true" t="shared" si="37" ref="GJ7:GJ12">SUM(GE7:GI7)</f>
        <v>0</v>
      </c>
    </row>
    <row r="8" spans="2:192" ht="12.75">
      <c r="B8" s="103">
        <v>0</v>
      </c>
      <c r="D8" s="2"/>
      <c r="F8" s="99">
        <v>0</v>
      </c>
      <c r="G8" s="103">
        <f t="shared" si="0"/>
        <v>0</v>
      </c>
      <c r="I8" s="2"/>
      <c r="K8" s="99">
        <v>0</v>
      </c>
      <c r="L8" s="103">
        <f t="shared" si="1"/>
        <v>0</v>
      </c>
      <c r="N8" s="2"/>
      <c r="P8" s="99">
        <v>0</v>
      </c>
      <c r="Q8" s="103">
        <f t="shared" si="2"/>
        <v>0</v>
      </c>
      <c r="S8" s="2"/>
      <c r="U8" s="99">
        <v>0</v>
      </c>
      <c r="V8" s="103">
        <f t="shared" si="3"/>
        <v>0</v>
      </c>
      <c r="X8" s="2"/>
      <c r="Z8" s="99">
        <v>0</v>
      </c>
      <c r="AA8" s="103">
        <f t="shared" si="4"/>
        <v>0</v>
      </c>
      <c r="AC8" s="2"/>
      <c r="AE8" s="99">
        <v>0</v>
      </c>
      <c r="AF8" s="103">
        <f t="shared" si="5"/>
        <v>0</v>
      </c>
      <c r="AH8" s="2"/>
      <c r="AJ8" s="99">
        <v>0</v>
      </c>
      <c r="AK8" s="103">
        <f t="shared" si="6"/>
        <v>0</v>
      </c>
      <c r="AM8" s="2"/>
      <c r="AO8" s="99">
        <v>0</v>
      </c>
      <c r="AP8" s="103">
        <f t="shared" si="7"/>
        <v>0</v>
      </c>
      <c r="AR8" s="2"/>
      <c r="AT8" s="99">
        <v>0</v>
      </c>
      <c r="AU8" s="103">
        <f t="shared" si="8"/>
        <v>0</v>
      </c>
      <c r="AW8" s="2"/>
      <c r="AY8" s="99">
        <v>0</v>
      </c>
      <c r="AZ8" s="103">
        <f t="shared" si="9"/>
        <v>0</v>
      </c>
      <c r="BB8" s="2"/>
      <c r="BD8" s="99">
        <v>0</v>
      </c>
      <c r="BE8" s="103">
        <f t="shared" si="10"/>
        <v>0</v>
      </c>
      <c r="BG8" s="2"/>
      <c r="BI8" s="99">
        <v>0</v>
      </c>
      <c r="BJ8" s="103">
        <f t="shared" si="11"/>
        <v>0</v>
      </c>
      <c r="BL8" s="2"/>
      <c r="BN8" s="99">
        <v>0</v>
      </c>
      <c r="BO8" s="103">
        <f t="shared" si="12"/>
        <v>0</v>
      </c>
      <c r="BQ8" s="2"/>
      <c r="BS8" s="99">
        <v>0</v>
      </c>
      <c r="BT8" s="103">
        <f t="shared" si="13"/>
        <v>0</v>
      </c>
      <c r="BV8" s="2"/>
      <c r="BX8" s="99">
        <v>0</v>
      </c>
      <c r="BY8" s="103">
        <f t="shared" si="14"/>
        <v>0</v>
      </c>
      <c r="CA8" s="2"/>
      <c r="CC8" s="99">
        <v>0</v>
      </c>
      <c r="CD8" s="103">
        <f t="shared" si="15"/>
        <v>0</v>
      </c>
      <c r="CF8" s="2"/>
      <c r="CH8" s="99">
        <v>0</v>
      </c>
      <c r="CI8" s="103">
        <f t="shared" si="16"/>
        <v>0</v>
      </c>
      <c r="CK8" s="2"/>
      <c r="CM8" s="99">
        <v>0</v>
      </c>
      <c r="CN8" s="103">
        <f t="shared" si="17"/>
        <v>0</v>
      </c>
      <c r="CP8" s="2"/>
      <c r="CR8" s="99">
        <v>0</v>
      </c>
      <c r="CS8" s="103">
        <f t="shared" si="18"/>
        <v>0</v>
      </c>
      <c r="CU8" s="2"/>
      <c r="CW8" s="99">
        <v>0</v>
      </c>
      <c r="CX8" s="103">
        <f t="shared" si="19"/>
        <v>0</v>
      </c>
      <c r="CZ8" s="2"/>
      <c r="DB8" s="99">
        <v>0</v>
      </c>
      <c r="DC8" s="103">
        <f t="shared" si="20"/>
        <v>0</v>
      </c>
      <c r="DE8" s="2"/>
      <c r="DG8" s="99">
        <v>0</v>
      </c>
      <c r="DH8" s="103">
        <f t="shared" si="21"/>
        <v>0</v>
      </c>
      <c r="DJ8" s="2"/>
      <c r="DL8" s="99">
        <v>0</v>
      </c>
      <c r="DM8" s="103">
        <f t="shared" si="22"/>
        <v>0</v>
      </c>
      <c r="DO8" s="2"/>
      <c r="DQ8" s="99">
        <v>0</v>
      </c>
      <c r="DR8" s="103">
        <f t="shared" si="23"/>
        <v>0</v>
      </c>
      <c r="DT8" s="2"/>
      <c r="DV8" s="99">
        <v>0</v>
      </c>
      <c r="DW8" s="103">
        <f t="shared" si="24"/>
        <v>0</v>
      </c>
      <c r="DY8" s="2"/>
      <c r="EA8" s="99">
        <v>0</v>
      </c>
      <c r="EB8" s="103">
        <f t="shared" si="25"/>
        <v>0</v>
      </c>
      <c r="ED8" s="2"/>
      <c r="EF8" s="99">
        <v>0</v>
      </c>
      <c r="EG8" s="103">
        <f t="shared" si="26"/>
        <v>0</v>
      </c>
      <c r="EI8" s="2"/>
      <c r="EK8" s="99">
        <v>0</v>
      </c>
      <c r="EL8" s="103">
        <f t="shared" si="27"/>
        <v>0</v>
      </c>
      <c r="EN8" s="2"/>
      <c r="EP8" s="99">
        <v>0</v>
      </c>
      <c r="EQ8" s="103">
        <f t="shared" si="28"/>
        <v>0</v>
      </c>
      <c r="ES8" s="2"/>
      <c r="EU8" s="99">
        <v>0</v>
      </c>
      <c r="EV8" s="103">
        <f t="shared" si="29"/>
        <v>0</v>
      </c>
      <c r="EX8" s="2"/>
      <c r="EZ8" s="99">
        <v>0</v>
      </c>
      <c r="FA8" s="103">
        <f t="shared" si="30"/>
        <v>0</v>
      </c>
      <c r="FC8" s="2"/>
      <c r="FE8" s="99">
        <v>0</v>
      </c>
      <c r="FF8" s="103">
        <f t="shared" si="31"/>
        <v>0</v>
      </c>
      <c r="FH8" s="2"/>
      <c r="FJ8" s="99">
        <v>0</v>
      </c>
      <c r="FK8" s="103">
        <f t="shared" si="32"/>
        <v>0</v>
      </c>
      <c r="FM8" s="2"/>
      <c r="FO8" s="99">
        <v>0</v>
      </c>
      <c r="FP8" s="103">
        <f t="shared" si="33"/>
        <v>0</v>
      </c>
      <c r="FR8" s="2"/>
      <c r="FT8" s="99">
        <v>0</v>
      </c>
      <c r="FU8" s="103">
        <f t="shared" si="34"/>
        <v>0</v>
      </c>
      <c r="FW8" s="2"/>
      <c r="FY8" s="99">
        <v>0</v>
      </c>
      <c r="FZ8" s="103">
        <f t="shared" si="35"/>
        <v>0</v>
      </c>
      <c r="GB8" s="2"/>
      <c r="GD8" s="99">
        <v>0</v>
      </c>
      <c r="GE8" s="103">
        <f t="shared" si="36"/>
        <v>0</v>
      </c>
      <c r="GG8" s="2"/>
      <c r="GI8" s="99">
        <v>0</v>
      </c>
      <c r="GJ8" s="103">
        <f t="shared" si="37"/>
        <v>0</v>
      </c>
    </row>
    <row r="9" spans="1:192" ht="12.75">
      <c r="A9" t="s">
        <v>8</v>
      </c>
      <c r="B9" s="103">
        <v>0</v>
      </c>
      <c r="D9" s="2"/>
      <c r="G9" s="103">
        <f t="shared" si="0"/>
        <v>0</v>
      </c>
      <c r="I9" s="2"/>
      <c r="L9" s="103">
        <f t="shared" si="1"/>
        <v>0</v>
      </c>
      <c r="N9" s="2"/>
      <c r="Q9" s="103">
        <f t="shared" si="2"/>
        <v>0</v>
      </c>
      <c r="S9" s="2"/>
      <c r="V9" s="103">
        <f t="shared" si="3"/>
        <v>0</v>
      </c>
      <c r="X9" s="2"/>
      <c r="AA9" s="103">
        <f t="shared" si="4"/>
        <v>0</v>
      </c>
      <c r="AC9" s="2"/>
      <c r="AF9" s="103">
        <f t="shared" si="5"/>
        <v>0</v>
      </c>
      <c r="AH9" s="2"/>
      <c r="AK9" s="103">
        <f t="shared" si="6"/>
        <v>0</v>
      </c>
      <c r="AM9" s="2"/>
      <c r="AP9" s="103">
        <f t="shared" si="7"/>
        <v>0</v>
      </c>
      <c r="AR9" s="2"/>
      <c r="AU9" s="103">
        <f t="shared" si="8"/>
        <v>0</v>
      </c>
      <c r="AW9" s="2"/>
      <c r="AZ9" s="103">
        <f t="shared" si="9"/>
        <v>0</v>
      </c>
      <c r="BB9" s="2"/>
      <c r="BE9" s="103">
        <f t="shared" si="10"/>
        <v>0</v>
      </c>
      <c r="BG9" s="2"/>
      <c r="BJ9" s="103">
        <f t="shared" si="11"/>
        <v>0</v>
      </c>
      <c r="BL9" s="2"/>
      <c r="BO9" s="103">
        <f t="shared" si="12"/>
        <v>0</v>
      </c>
      <c r="BQ9" s="2"/>
      <c r="BT9" s="103">
        <f t="shared" si="13"/>
        <v>0</v>
      </c>
      <c r="BV9" s="2"/>
      <c r="BY9" s="103">
        <f t="shared" si="14"/>
        <v>0</v>
      </c>
      <c r="CA9" s="2"/>
      <c r="CD9" s="103">
        <f t="shared" si="15"/>
        <v>0</v>
      </c>
      <c r="CF9" s="2"/>
      <c r="CI9" s="103">
        <f t="shared" si="16"/>
        <v>0</v>
      </c>
      <c r="CK9" s="2"/>
      <c r="CN9" s="103">
        <f t="shared" si="17"/>
        <v>0</v>
      </c>
      <c r="CP9" s="2"/>
      <c r="CS9" s="103">
        <f t="shared" si="18"/>
        <v>0</v>
      </c>
      <c r="CU9" s="2"/>
      <c r="CX9" s="103">
        <f t="shared" si="19"/>
        <v>0</v>
      </c>
      <c r="CZ9" s="2"/>
      <c r="DC9" s="103">
        <f t="shared" si="20"/>
        <v>0</v>
      </c>
      <c r="DE9" s="2"/>
      <c r="DH9" s="103">
        <f t="shared" si="21"/>
        <v>0</v>
      </c>
      <c r="DJ9" s="2"/>
      <c r="DM9" s="103">
        <f t="shared" si="22"/>
        <v>0</v>
      </c>
      <c r="DO9" s="2"/>
      <c r="DR9" s="103">
        <f t="shared" si="23"/>
        <v>0</v>
      </c>
      <c r="DT9" s="2"/>
      <c r="DW9" s="103">
        <f t="shared" si="24"/>
        <v>0</v>
      </c>
      <c r="DY9" s="2"/>
      <c r="EB9" s="103">
        <f t="shared" si="25"/>
        <v>0</v>
      </c>
      <c r="ED9" s="2"/>
      <c r="EG9" s="103">
        <f t="shared" si="26"/>
        <v>0</v>
      </c>
      <c r="EI9" s="2"/>
      <c r="EL9" s="103">
        <f t="shared" si="27"/>
        <v>0</v>
      </c>
      <c r="EN9" s="2"/>
      <c r="EQ9" s="103">
        <f t="shared" si="28"/>
        <v>0</v>
      </c>
      <c r="ES9" s="2"/>
      <c r="EV9" s="103">
        <f t="shared" si="29"/>
        <v>0</v>
      </c>
      <c r="EX9" s="2"/>
      <c r="FA9" s="103">
        <f t="shared" si="30"/>
        <v>0</v>
      </c>
      <c r="FC9" s="2"/>
      <c r="FF9" s="103">
        <f t="shared" si="31"/>
        <v>0</v>
      </c>
      <c r="FH9" s="2"/>
      <c r="FK9" s="103">
        <f t="shared" si="32"/>
        <v>0</v>
      </c>
      <c r="FM9" s="2"/>
      <c r="FP9" s="103">
        <f t="shared" si="33"/>
        <v>0</v>
      </c>
      <c r="FR9" s="2"/>
      <c r="FU9" s="103">
        <f t="shared" si="34"/>
        <v>0</v>
      </c>
      <c r="FW9" s="2"/>
      <c r="FZ9" s="103">
        <f t="shared" si="35"/>
        <v>0</v>
      </c>
      <c r="GB9" s="2"/>
      <c r="GE9" s="103">
        <f t="shared" si="36"/>
        <v>0</v>
      </c>
      <c r="GG9" s="2"/>
      <c r="GJ9" s="103">
        <f t="shared" si="37"/>
        <v>0</v>
      </c>
    </row>
    <row r="10" spans="2:192" ht="12.75">
      <c r="B10" s="103">
        <v>0</v>
      </c>
      <c r="D10" s="2"/>
      <c r="G10" s="103">
        <f t="shared" si="0"/>
        <v>0</v>
      </c>
      <c r="I10" s="2"/>
      <c r="L10" s="103">
        <f t="shared" si="1"/>
        <v>0</v>
      </c>
      <c r="N10" s="2"/>
      <c r="Q10" s="103">
        <f t="shared" si="2"/>
        <v>0</v>
      </c>
      <c r="S10" s="2"/>
      <c r="V10" s="103">
        <f t="shared" si="3"/>
        <v>0</v>
      </c>
      <c r="X10" s="2"/>
      <c r="AA10" s="103">
        <f t="shared" si="4"/>
        <v>0</v>
      </c>
      <c r="AC10" s="2"/>
      <c r="AF10" s="103">
        <f t="shared" si="5"/>
        <v>0</v>
      </c>
      <c r="AH10" s="2"/>
      <c r="AK10" s="103">
        <f t="shared" si="6"/>
        <v>0</v>
      </c>
      <c r="AM10" s="2"/>
      <c r="AP10" s="103">
        <f t="shared" si="7"/>
        <v>0</v>
      </c>
      <c r="AR10" s="2"/>
      <c r="AU10" s="103">
        <f t="shared" si="8"/>
        <v>0</v>
      </c>
      <c r="AW10" s="2"/>
      <c r="AZ10" s="103">
        <f t="shared" si="9"/>
        <v>0</v>
      </c>
      <c r="BB10" s="2"/>
      <c r="BE10" s="103">
        <f t="shared" si="10"/>
        <v>0</v>
      </c>
      <c r="BG10" s="2"/>
      <c r="BJ10" s="103">
        <f t="shared" si="11"/>
        <v>0</v>
      </c>
      <c r="BL10" s="2"/>
      <c r="BO10" s="103">
        <f t="shared" si="12"/>
        <v>0</v>
      </c>
      <c r="BQ10" s="2"/>
      <c r="BT10" s="103">
        <f t="shared" si="13"/>
        <v>0</v>
      </c>
      <c r="BV10" s="2"/>
      <c r="BY10" s="103">
        <f t="shared" si="14"/>
        <v>0</v>
      </c>
      <c r="CA10" s="2"/>
      <c r="CD10" s="103">
        <f t="shared" si="15"/>
        <v>0</v>
      </c>
      <c r="CF10" s="2"/>
      <c r="CI10" s="103">
        <f t="shared" si="16"/>
        <v>0</v>
      </c>
      <c r="CK10" s="2"/>
      <c r="CN10" s="103">
        <f t="shared" si="17"/>
        <v>0</v>
      </c>
      <c r="CP10" s="2"/>
      <c r="CS10" s="103">
        <f t="shared" si="18"/>
        <v>0</v>
      </c>
      <c r="CU10" s="2"/>
      <c r="CX10" s="103">
        <f t="shared" si="19"/>
        <v>0</v>
      </c>
      <c r="CZ10" s="2"/>
      <c r="DC10" s="103">
        <f t="shared" si="20"/>
        <v>0</v>
      </c>
      <c r="DE10" s="2"/>
      <c r="DH10" s="103">
        <f t="shared" si="21"/>
        <v>0</v>
      </c>
      <c r="DJ10" s="2"/>
      <c r="DM10" s="103">
        <f t="shared" si="22"/>
        <v>0</v>
      </c>
      <c r="DO10" s="2"/>
      <c r="DR10" s="103">
        <f t="shared" si="23"/>
        <v>0</v>
      </c>
      <c r="DT10" s="2"/>
      <c r="DW10" s="103">
        <f t="shared" si="24"/>
        <v>0</v>
      </c>
      <c r="DY10" s="2"/>
      <c r="EB10" s="103">
        <f t="shared" si="25"/>
        <v>0</v>
      </c>
      <c r="ED10" s="2"/>
      <c r="EG10" s="103">
        <f t="shared" si="26"/>
        <v>0</v>
      </c>
      <c r="EI10" s="2"/>
      <c r="EL10" s="103">
        <f t="shared" si="27"/>
        <v>0</v>
      </c>
      <c r="EN10" s="2"/>
      <c r="EQ10" s="103">
        <f t="shared" si="28"/>
        <v>0</v>
      </c>
      <c r="ES10" s="2"/>
      <c r="EV10" s="103">
        <f t="shared" si="29"/>
        <v>0</v>
      </c>
      <c r="EX10" s="2"/>
      <c r="FA10" s="103">
        <f t="shared" si="30"/>
        <v>0</v>
      </c>
      <c r="FC10" s="2"/>
      <c r="FF10" s="103">
        <f t="shared" si="31"/>
        <v>0</v>
      </c>
      <c r="FH10" s="2"/>
      <c r="FK10" s="103">
        <f t="shared" si="32"/>
        <v>0</v>
      </c>
      <c r="FM10" s="2"/>
      <c r="FP10" s="103">
        <f t="shared" si="33"/>
        <v>0</v>
      </c>
      <c r="FR10" s="2"/>
      <c r="FU10" s="103">
        <f t="shared" si="34"/>
        <v>0</v>
      </c>
      <c r="FW10" s="2"/>
      <c r="FZ10" s="103">
        <f t="shared" si="35"/>
        <v>0</v>
      </c>
      <c r="GB10" s="2"/>
      <c r="GE10" s="103">
        <f t="shared" si="36"/>
        <v>0</v>
      </c>
      <c r="GG10" s="2"/>
      <c r="GJ10" s="103">
        <f t="shared" si="37"/>
        <v>0</v>
      </c>
    </row>
    <row r="11" spans="1:192" ht="12.75">
      <c r="A11" t="s">
        <v>26</v>
      </c>
      <c r="B11" s="103">
        <v>0</v>
      </c>
      <c r="C11" s="99">
        <v>0</v>
      </c>
      <c r="D11" s="2"/>
      <c r="E11" s="106">
        <v>0</v>
      </c>
      <c r="G11" s="103">
        <f t="shared" si="0"/>
        <v>0</v>
      </c>
      <c r="H11" s="99">
        <v>0</v>
      </c>
      <c r="I11" s="2"/>
      <c r="J11" s="106">
        <v>0</v>
      </c>
      <c r="L11" s="103">
        <f t="shared" si="1"/>
        <v>0</v>
      </c>
      <c r="M11" s="99">
        <v>0</v>
      </c>
      <c r="N11" s="2"/>
      <c r="O11" s="106">
        <v>0</v>
      </c>
      <c r="Q11" s="103">
        <f t="shared" si="2"/>
        <v>0</v>
      </c>
      <c r="R11" s="99">
        <v>0</v>
      </c>
      <c r="S11" s="2"/>
      <c r="T11" s="106">
        <v>0</v>
      </c>
      <c r="V11" s="103">
        <f t="shared" si="3"/>
        <v>0</v>
      </c>
      <c r="W11" s="99">
        <v>0</v>
      </c>
      <c r="X11" s="2"/>
      <c r="Y11" s="106">
        <v>0</v>
      </c>
      <c r="AA11" s="103">
        <f t="shared" si="4"/>
        <v>0</v>
      </c>
      <c r="AB11" s="99">
        <v>0</v>
      </c>
      <c r="AC11" s="2"/>
      <c r="AD11" s="106">
        <v>0</v>
      </c>
      <c r="AF11" s="103">
        <f t="shared" si="5"/>
        <v>0</v>
      </c>
      <c r="AG11" s="99">
        <v>0</v>
      </c>
      <c r="AH11" s="2"/>
      <c r="AI11" s="106">
        <v>0</v>
      </c>
      <c r="AK11" s="103">
        <f t="shared" si="6"/>
        <v>0</v>
      </c>
      <c r="AL11" s="99">
        <v>0</v>
      </c>
      <c r="AM11" s="2"/>
      <c r="AN11" s="106">
        <v>0</v>
      </c>
      <c r="AP11" s="103">
        <f t="shared" si="7"/>
        <v>0</v>
      </c>
      <c r="AQ11" s="99">
        <v>0</v>
      </c>
      <c r="AR11" s="2"/>
      <c r="AS11" s="106">
        <v>0</v>
      </c>
      <c r="AU11" s="103">
        <f t="shared" si="8"/>
        <v>0</v>
      </c>
      <c r="AV11" s="99">
        <v>0</v>
      </c>
      <c r="AW11" s="2"/>
      <c r="AX11" s="106">
        <v>0</v>
      </c>
      <c r="AZ11" s="103">
        <f t="shared" si="9"/>
        <v>0</v>
      </c>
      <c r="BA11" s="99">
        <v>0</v>
      </c>
      <c r="BB11" s="2"/>
      <c r="BC11" s="106">
        <v>0</v>
      </c>
      <c r="BE11" s="103">
        <f t="shared" si="10"/>
        <v>0</v>
      </c>
      <c r="BF11" s="99">
        <v>0</v>
      </c>
      <c r="BG11" s="2"/>
      <c r="BH11" s="106">
        <v>0</v>
      </c>
      <c r="BJ11" s="103">
        <f t="shared" si="11"/>
        <v>0</v>
      </c>
      <c r="BK11" s="99">
        <v>0</v>
      </c>
      <c r="BL11" s="2"/>
      <c r="BM11" s="106">
        <v>0</v>
      </c>
      <c r="BO11" s="103">
        <f t="shared" si="12"/>
        <v>0</v>
      </c>
      <c r="BP11" s="99">
        <v>0</v>
      </c>
      <c r="BQ11" s="2"/>
      <c r="BR11" s="106">
        <v>0</v>
      </c>
      <c r="BT11" s="103">
        <f t="shared" si="13"/>
        <v>0</v>
      </c>
      <c r="BU11" s="99">
        <v>0</v>
      </c>
      <c r="BV11" s="2"/>
      <c r="BW11" s="106">
        <v>0</v>
      </c>
      <c r="BY11" s="103">
        <f t="shared" si="14"/>
        <v>0</v>
      </c>
      <c r="BZ11" s="99">
        <v>0</v>
      </c>
      <c r="CA11" s="2"/>
      <c r="CB11" s="106">
        <v>0</v>
      </c>
      <c r="CD11" s="103">
        <f t="shared" si="15"/>
        <v>0</v>
      </c>
      <c r="CE11" s="99">
        <v>0</v>
      </c>
      <c r="CF11" s="2"/>
      <c r="CG11" s="106">
        <v>0</v>
      </c>
      <c r="CI11" s="103">
        <f t="shared" si="16"/>
        <v>0</v>
      </c>
      <c r="CJ11" s="99">
        <v>0</v>
      </c>
      <c r="CK11" s="2"/>
      <c r="CL11" s="106">
        <v>0</v>
      </c>
      <c r="CN11" s="103">
        <f t="shared" si="17"/>
        <v>0</v>
      </c>
      <c r="CO11" s="99">
        <v>0</v>
      </c>
      <c r="CP11" s="2"/>
      <c r="CQ11" s="106">
        <v>0</v>
      </c>
      <c r="CS11" s="103">
        <f t="shared" si="18"/>
        <v>0</v>
      </c>
      <c r="CT11" s="99">
        <v>0</v>
      </c>
      <c r="CU11" s="2"/>
      <c r="CV11" s="106">
        <v>0</v>
      </c>
      <c r="CX11" s="103">
        <f t="shared" si="19"/>
        <v>0</v>
      </c>
      <c r="CY11" s="99">
        <v>0</v>
      </c>
      <c r="CZ11" s="2"/>
      <c r="DA11" s="106">
        <v>0</v>
      </c>
      <c r="DC11" s="103">
        <f t="shared" si="20"/>
        <v>0</v>
      </c>
      <c r="DD11" s="99">
        <v>0</v>
      </c>
      <c r="DE11" s="2"/>
      <c r="DF11" s="106">
        <v>0</v>
      </c>
      <c r="DH11" s="103">
        <f t="shared" si="21"/>
        <v>0</v>
      </c>
      <c r="DI11" s="99">
        <v>0</v>
      </c>
      <c r="DJ11" s="2"/>
      <c r="DK11" s="106">
        <v>0</v>
      </c>
      <c r="DM11" s="103">
        <f t="shared" si="22"/>
        <v>0</v>
      </c>
      <c r="DN11" s="99">
        <v>0</v>
      </c>
      <c r="DO11" s="2"/>
      <c r="DP11" s="106">
        <v>0</v>
      </c>
      <c r="DR11" s="103">
        <f t="shared" si="23"/>
        <v>0</v>
      </c>
      <c r="DS11" s="99">
        <v>0</v>
      </c>
      <c r="DT11" s="2"/>
      <c r="DU11" s="106">
        <v>0</v>
      </c>
      <c r="DW11" s="103">
        <f t="shared" si="24"/>
        <v>0</v>
      </c>
      <c r="DX11" s="99">
        <v>0</v>
      </c>
      <c r="DY11" s="2"/>
      <c r="DZ11" s="106">
        <v>0</v>
      </c>
      <c r="EB11" s="103">
        <f t="shared" si="25"/>
        <v>0</v>
      </c>
      <c r="EC11" s="99">
        <v>0</v>
      </c>
      <c r="ED11" s="2"/>
      <c r="EE11" s="106">
        <v>0</v>
      </c>
      <c r="EG11" s="103">
        <f t="shared" si="26"/>
        <v>0</v>
      </c>
      <c r="EH11" s="99">
        <v>0</v>
      </c>
      <c r="EI11" s="2"/>
      <c r="EJ11" s="106">
        <v>0</v>
      </c>
      <c r="EL11" s="103">
        <f t="shared" si="27"/>
        <v>0</v>
      </c>
      <c r="EM11" s="99">
        <v>0</v>
      </c>
      <c r="EN11" s="2"/>
      <c r="EO11" s="106">
        <v>0</v>
      </c>
      <c r="EQ11" s="103">
        <f t="shared" si="28"/>
        <v>0</v>
      </c>
      <c r="ER11" s="99">
        <v>0</v>
      </c>
      <c r="ES11" s="2"/>
      <c r="ET11" s="106">
        <v>0</v>
      </c>
      <c r="EV11" s="103">
        <f t="shared" si="29"/>
        <v>0</v>
      </c>
      <c r="EW11" s="99">
        <v>0</v>
      </c>
      <c r="EX11" s="2"/>
      <c r="EY11" s="106">
        <v>0</v>
      </c>
      <c r="FA11" s="103">
        <f t="shared" si="30"/>
        <v>0</v>
      </c>
      <c r="FB11" s="99">
        <v>0</v>
      </c>
      <c r="FC11" s="2"/>
      <c r="FD11" s="106">
        <v>0</v>
      </c>
      <c r="FF11" s="103">
        <f t="shared" si="31"/>
        <v>0</v>
      </c>
      <c r="FG11" s="99">
        <v>0</v>
      </c>
      <c r="FH11" s="2"/>
      <c r="FI11" s="106">
        <v>0</v>
      </c>
      <c r="FK11" s="103">
        <f t="shared" si="32"/>
        <v>0</v>
      </c>
      <c r="FL11" s="99">
        <v>0</v>
      </c>
      <c r="FM11" s="2"/>
      <c r="FN11" s="106">
        <v>0</v>
      </c>
      <c r="FP11" s="103">
        <f t="shared" si="33"/>
        <v>0</v>
      </c>
      <c r="FQ11" s="99">
        <v>0</v>
      </c>
      <c r="FR11" s="2"/>
      <c r="FS11" s="106">
        <v>0</v>
      </c>
      <c r="FU11" s="103">
        <f t="shared" si="34"/>
        <v>0</v>
      </c>
      <c r="FV11" s="99">
        <v>0</v>
      </c>
      <c r="FW11" s="2"/>
      <c r="FX11" s="106">
        <v>0</v>
      </c>
      <c r="FZ11" s="103">
        <f t="shared" si="35"/>
        <v>0</v>
      </c>
      <c r="GA11" s="99">
        <v>0</v>
      </c>
      <c r="GB11" s="2"/>
      <c r="GC11" s="106">
        <v>0</v>
      </c>
      <c r="GE11" s="103">
        <f t="shared" si="36"/>
        <v>0</v>
      </c>
      <c r="GF11" s="99">
        <v>0</v>
      </c>
      <c r="GG11" s="2"/>
      <c r="GH11" s="106">
        <v>0</v>
      </c>
      <c r="GJ11" s="103">
        <f t="shared" si="37"/>
        <v>0</v>
      </c>
    </row>
    <row r="12" spans="1:192" ht="12.75">
      <c r="A12" t="s">
        <v>46</v>
      </c>
      <c r="B12" s="103">
        <v>0</v>
      </c>
      <c r="D12" s="2"/>
      <c r="E12" s="107">
        <v>0</v>
      </c>
      <c r="G12" s="103">
        <f t="shared" si="0"/>
        <v>0</v>
      </c>
      <c r="I12" s="2"/>
      <c r="J12" s="107">
        <v>0</v>
      </c>
      <c r="L12" s="103">
        <f t="shared" si="1"/>
        <v>0</v>
      </c>
      <c r="N12" s="2"/>
      <c r="O12" s="107">
        <v>0</v>
      </c>
      <c r="Q12" s="103">
        <f t="shared" si="2"/>
        <v>0</v>
      </c>
      <c r="S12" s="2"/>
      <c r="T12" s="107">
        <v>0</v>
      </c>
      <c r="V12" s="103">
        <f t="shared" si="3"/>
        <v>0</v>
      </c>
      <c r="X12" s="2"/>
      <c r="Y12" s="107">
        <v>0</v>
      </c>
      <c r="AA12" s="103">
        <f t="shared" si="4"/>
        <v>0</v>
      </c>
      <c r="AC12" s="2"/>
      <c r="AD12" s="107">
        <v>0</v>
      </c>
      <c r="AF12" s="103">
        <f t="shared" si="5"/>
        <v>0</v>
      </c>
      <c r="AH12" s="2"/>
      <c r="AI12" s="107">
        <v>0</v>
      </c>
      <c r="AK12" s="103">
        <f t="shared" si="6"/>
        <v>0</v>
      </c>
      <c r="AM12" s="2"/>
      <c r="AN12" s="107">
        <v>0</v>
      </c>
      <c r="AP12" s="103">
        <f t="shared" si="7"/>
        <v>0</v>
      </c>
      <c r="AR12" s="2"/>
      <c r="AS12" s="107">
        <v>0</v>
      </c>
      <c r="AU12" s="103">
        <f t="shared" si="8"/>
        <v>0</v>
      </c>
      <c r="AW12" s="2"/>
      <c r="AX12" s="107">
        <v>0</v>
      </c>
      <c r="AZ12" s="103">
        <f t="shared" si="9"/>
        <v>0</v>
      </c>
      <c r="BB12" s="2"/>
      <c r="BC12" s="107">
        <v>0</v>
      </c>
      <c r="BE12" s="103">
        <f t="shared" si="10"/>
        <v>0</v>
      </c>
      <c r="BG12" s="2"/>
      <c r="BH12" s="107">
        <v>0</v>
      </c>
      <c r="BJ12" s="103">
        <f t="shared" si="11"/>
        <v>0</v>
      </c>
      <c r="BL12" s="2"/>
      <c r="BM12" s="107">
        <v>0</v>
      </c>
      <c r="BO12" s="103">
        <f t="shared" si="12"/>
        <v>0</v>
      </c>
      <c r="BQ12" s="2"/>
      <c r="BR12" s="107">
        <v>0</v>
      </c>
      <c r="BT12" s="103">
        <f t="shared" si="13"/>
        <v>0</v>
      </c>
      <c r="BV12" s="2"/>
      <c r="BW12" s="107">
        <v>0</v>
      </c>
      <c r="BY12" s="103">
        <f t="shared" si="14"/>
        <v>0</v>
      </c>
      <c r="CA12" s="2"/>
      <c r="CB12" s="107">
        <v>0</v>
      </c>
      <c r="CD12" s="103">
        <f t="shared" si="15"/>
        <v>0</v>
      </c>
      <c r="CF12" s="2"/>
      <c r="CG12" s="107">
        <v>0</v>
      </c>
      <c r="CI12" s="103">
        <f t="shared" si="16"/>
        <v>0</v>
      </c>
      <c r="CK12" s="2"/>
      <c r="CL12" s="107">
        <v>0</v>
      </c>
      <c r="CN12" s="103">
        <f t="shared" si="17"/>
        <v>0</v>
      </c>
      <c r="CP12" s="2"/>
      <c r="CQ12" s="107">
        <v>0</v>
      </c>
      <c r="CS12" s="103">
        <f t="shared" si="18"/>
        <v>0</v>
      </c>
      <c r="CU12" s="2"/>
      <c r="CV12" s="107">
        <v>0</v>
      </c>
      <c r="CX12" s="103">
        <f t="shared" si="19"/>
        <v>0</v>
      </c>
      <c r="CZ12" s="2"/>
      <c r="DA12" s="107">
        <v>0</v>
      </c>
      <c r="DC12" s="103">
        <f t="shared" si="20"/>
        <v>0</v>
      </c>
      <c r="DE12" s="2"/>
      <c r="DF12" s="107">
        <v>0</v>
      </c>
      <c r="DH12" s="103">
        <f t="shared" si="21"/>
        <v>0</v>
      </c>
      <c r="DJ12" s="2"/>
      <c r="DK12" s="107">
        <v>0</v>
      </c>
      <c r="DM12" s="103">
        <f t="shared" si="22"/>
        <v>0</v>
      </c>
      <c r="DO12" s="2"/>
      <c r="DP12" s="107">
        <v>0</v>
      </c>
      <c r="DR12" s="103">
        <f t="shared" si="23"/>
        <v>0</v>
      </c>
      <c r="DT12" s="2"/>
      <c r="DU12" s="107">
        <v>0</v>
      </c>
      <c r="DW12" s="103">
        <f t="shared" si="24"/>
        <v>0</v>
      </c>
      <c r="DY12" s="2"/>
      <c r="DZ12" s="107">
        <v>0</v>
      </c>
      <c r="EB12" s="103">
        <f t="shared" si="25"/>
        <v>0</v>
      </c>
      <c r="ED12" s="2"/>
      <c r="EE12" s="107">
        <v>0</v>
      </c>
      <c r="EG12" s="103">
        <f t="shared" si="26"/>
        <v>0</v>
      </c>
      <c r="EI12" s="2"/>
      <c r="EJ12" s="107">
        <v>0</v>
      </c>
      <c r="EL12" s="103">
        <f t="shared" si="27"/>
        <v>0</v>
      </c>
      <c r="EN12" s="2"/>
      <c r="EO12" s="107">
        <v>0</v>
      </c>
      <c r="EQ12" s="103">
        <f t="shared" si="28"/>
        <v>0</v>
      </c>
      <c r="ES12" s="2"/>
      <c r="ET12" s="107">
        <v>0</v>
      </c>
      <c r="EV12" s="103">
        <f t="shared" si="29"/>
        <v>0</v>
      </c>
      <c r="EX12" s="2"/>
      <c r="EY12" s="107">
        <v>0</v>
      </c>
      <c r="FA12" s="103">
        <f t="shared" si="30"/>
        <v>0</v>
      </c>
      <c r="FC12" s="2"/>
      <c r="FD12" s="107">
        <v>0</v>
      </c>
      <c r="FF12" s="103">
        <f t="shared" si="31"/>
        <v>0</v>
      </c>
      <c r="FH12" s="2"/>
      <c r="FI12" s="107">
        <v>0</v>
      </c>
      <c r="FK12" s="103">
        <f t="shared" si="32"/>
        <v>0</v>
      </c>
      <c r="FM12" s="2"/>
      <c r="FN12" s="107">
        <v>0</v>
      </c>
      <c r="FP12" s="103">
        <f t="shared" si="33"/>
        <v>0</v>
      </c>
      <c r="FR12" s="2"/>
      <c r="FS12" s="107">
        <v>0</v>
      </c>
      <c r="FU12" s="103">
        <f t="shared" si="34"/>
        <v>0</v>
      </c>
      <c r="FW12" s="2"/>
      <c r="FX12" s="107">
        <v>0</v>
      </c>
      <c r="FZ12" s="103">
        <f t="shared" si="35"/>
        <v>0</v>
      </c>
      <c r="GB12" s="2"/>
      <c r="GC12" s="107">
        <v>0</v>
      </c>
      <c r="GE12" s="103">
        <f t="shared" si="36"/>
        <v>0</v>
      </c>
      <c r="GG12" s="2"/>
      <c r="GH12" s="107">
        <v>0</v>
      </c>
      <c r="GJ12" s="103">
        <f t="shared" si="37"/>
        <v>0</v>
      </c>
    </row>
    <row r="13" spans="4:189" ht="12.75">
      <c r="D13" s="2"/>
      <c r="I13" s="2"/>
      <c r="N13" s="2"/>
      <c r="S13" s="2"/>
      <c r="X13" s="2"/>
      <c r="AC13" s="2"/>
      <c r="AH13" s="2"/>
      <c r="AM13" s="2"/>
      <c r="AR13" s="2"/>
      <c r="AW13" s="2"/>
      <c r="BB13" s="2"/>
      <c r="BG13" s="2"/>
      <c r="BL13" s="2"/>
      <c r="BQ13" s="2"/>
      <c r="BV13" s="2"/>
      <c r="CA13" s="2"/>
      <c r="CF13" s="2"/>
      <c r="CK13" s="2"/>
      <c r="CP13" s="2"/>
      <c r="CU13" s="2"/>
      <c r="CZ13" s="2"/>
      <c r="DE13" s="2"/>
      <c r="DJ13" s="2"/>
      <c r="DO13" s="2"/>
      <c r="DT13" s="2"/>
      <c r="DY13" s="2"/>
      <c r="ED13" s="2"/>
      <c r="EI13" s="2"/>
      <c r="EN13" s="2"/>
      <c r="ES13" s="2"/>
      <c r="EX13" s="2"/>
      <c r="FC13" s="2"/>
      <c r="FH13" s="2"/>
      <c r="FM13" s="2"/>
      <c r="FR13" s="2"/>
      <c r="FW13" s="2"/>
      <c r="GB13" s="2"/>
      <c r="GG13" s="2"/>
    </row>
    <row r="14" spans="4:189" ht="12.75">
      <c r="D14" s="2"/>
      <c r="I14" s="2"/>
      <c r="N14" s="2"/>
      <c r="S14" s="2"/>
      <c r="X14" s="2"/>
      <c r="AC14" s="2"/>
      <c r="AH14" s="2"/>
      <c r="AM14" s="2"/>
      <c r="AR14" s="2"/>
      <c r="AW14" s="2"/>
      <c r="BB14" s="2"/>
      <c r="BG14" s="2"/>
      <c r="BL14" s="2"/>
      <c r="BQ14" s="2"/>
      <c r="BV14" s="2"/>
      <c r="CA14" s="2"/>
      <c r="CF14" s="2"/>
      <c r="CK14" s="2"/>
      <c r="CP14" s="2"/>
      <c r="CU14" s="2"/>
      <c r="CZ14" s="2"/>
      <c r="DE14" s="2"/>
      <c r="DJ14" s="2"/>
      <c r="DO14" s="2"/>
      <c r="DT14" s="2"/>
      <c r="DY14" s="2"/>
      <c r="ED14" s="2"/>
      <c r="EI14" s="2"/>
      <c r="EN14" s="2"/>
      <c r="ES14" s="2"/>
      <c r="EX14" s="2"/>
      <c r="FC14" s="2"/>
      <c r="FH14" s="2"/>
      <c r="FM14" s="2"/>
      <c r="FR14" s="2"/>
      <c r="FW14" s="2"/>
      <c r="GB14" s="2"/>
      <c r="GG14" s="2"/>
    </row>
    <row r="15" spans="1:192" ht="13.5" thickBot="1">
      <c r="A15" s="1" t="s">
        <v>9</v>
      </c>
      <c r="B15" s="108">
        <f>SUM(B6:B14)</f>
        <v>47882743.33000002</v>
      </c>
      <c r="C15" s="109">
        <f>SUM(C7:C14)</f>
        <v>0</v>
      </c>
      <c r="D15" s="3"/>
      <c r="E15" s="109">
        <f>SUM(E6:E14)</f>
        <v>0</v>
      </c>
      <c r="F15" s="109">
        <f>SUM(F6:F14)</f>
        <v>-1269188.17</v>
      </c>
      <c r="G15" s="108">
        <f>SUM(G6:G14)</f>
        <v>46613555.16000002</v>
      </c>
      <c r="H15" s="109">
        <f>SUM(H7:H14)</f>
        <v>0</v>
      </c>
      <c r="I15" s="3"/>
      <c r="J15" s="109">
        <f>SUM(J6:J14)</f>
        <v>0</v>
      </c>
      <c r="K15" s="109">
        <f>SUM(K6:K14)</f>
        <v>-558328.4</v>
      </c>
      <c r="L15" s="108">
        <f>SUM(L6:L14)</f>
        <v>46055226.76000002</v>
      </c>
      <c r="M15" s="109">
        <f>SUM(M7:M14)</f>
        <v>0</v>
      </c>
      <c r="N15" s="3"/>
      <c r="O15" s="109">
        <f>SUM(O6:O14)</f>
        <v>0</v>
      </c>
      <c r="P15" s="109">
        <f>SUM(P6:P14)</f>
        <v>-137381.76</v>
      </c>
      <c r="Q15" s="108">
        <f>SUM(Q6:Q14)</f>
        <v>45917845.00000002</v>
      </c>
      <c r="R15" s="109">
        <f>SUM(R7:R14)</f>
        <v>0</v>
      </c>
      <c r="S15" s="3"/>
      <c r="T15" s="109">
        <f>SUM(T6:T14)</f>
        <v>0</v>
      </c>
      <c r="U15" s="109">
        <f>SUM(U6:U14)</f>
        <v>-411768.05</v>
      </c>
      <c r="V15" s="108">
        <f>SUM(V6:V14)</f>
        <v>45506076.950000025</v>
      </c>
      <c r="W15" s="109">
        <f>SUM(W7:W14)</f>
        <v>0</v>
      </c>
      <c r="X15" s="3"/>
      <c r="Y15" s="109">
        <f>SUM(Y6:Y14)</f>
        <v>0</v>
      </c>
      <c r="Z15" s="109">
        <f>SUM(Z6:Z14)</f>
        <v>-218470.55</v>
      </c>
      <c r="AA15" s="108">
        <f>SUM(AA6:AA14)</f>
        <v>45287606.40000003</v>
      </c>
      <c r="AB15" s="109">
        <f>SUM(AB7:AB14)</f>
        <v>0</v>
      </c>
      <c r="AC15" s="3"/>
      <c r="AD15" s="109">
        <f>SUM(AD6:AD14)</f>
        <v>0</v>
      </c>
      <c r="AE15" s="109">
        <f>SUM(AE6:AE14)</f>
        <v>-2818520.84</v>
      </c>
      <c r="AF15" s="108">
        <f>SUM(AF6:AF14)</f>
        <v>42469085.56000003</v>
      </c>
      <c r="AG15" s="109">
        <f>SUM(AG7:AG14)</f>
        <v>0</v>
      </c>
      <c r="AH15" s="3"/>
      <c r="AI15" s="109">
        <f>SUM(AI6:AI14)</f>
        <v>0</v>
      </c>
      <c r="AJ15" s="109">
        <f>SUM(AJ6:AJ14)</f>
        <v>-2500922.6</v>
      </c>
      <c r="AK15" s="108">
        <f>SUM(AK6:AK14)</f>
        <v>39968162.96000003</v>
      </c>
      <c r="AL15" s="109">
        <f>SUM(AL7:AL14)</f>
        <v>0</v>
      </c>
      <c r="AM15" s="3"/>
      <c r="AN15" s="109">
        <f>SUM(AN6:AN14)</f>
        <v>0</v>
      </c>
      <c r="AO15" s="109">
        <f>SUM(AO6:AO14)</f>
        <v>-12187611.88</v>
      </c>
      <c r="AP15" s="108">
        <f>SUM(AP6:AP14)</f>
        <v>27780551.080000028</v>
      </c>
      <c r="AQ15" s="109">
        <f>SUM(AQ7:AQ14)</f>
        <v>0</v>
      </c>
      <c r="AR15" s="3"/>
      <c r="AS15" s="109">
        <f>SUM(AS6:AS14)</f>
        <v>0</v>
      </c>
      <c r="AT15" s="109">
        <f>SUM(AT6:AT14)</f>
        <v>-771367.94</v>
      </c>
      <c r="AU15" s="108">
        <f>SUM(AU6:AU14)</f>
        <v>27009183.140000027</v>
      </c>
      <c r="AV15" s="109">
        <f>SUM(AV7:AV14)</f>
        <v>0</v>
      </c>
      <c r="AW15" s="3"/>
      <c r="AX15" s="109">
        <f>SUM(AX6:AX14)</f>
        <v>0</v>
      </c>
      <c r="AY15" s="109">
        <f>SUM(AY6:AY14)</f>
        <v>-422046.24</v>
      </c>
      <c r="AZ15" s="108">
        <f>SUM(AZ6:AZ14)</f>
        <v>26587136.90000003</v>
      </c>
      <c r="BA15" s="109">
        <f>SUM(BA7:BA14)</f>
        <v>0</v>
      </c>
      <c r="BB15" s="3"/>
      <c r="BC15" s="109">
        <f>SUM(BC6:BC14)</f>
        <v>0</v>
      </c>
      <c r="BD15" s="109">
        <f>SUM(BD6:BD14)</f>
        <v>-1337472.73</v>
      </c>
      <c r="BE15" s="108">
        <f>SUM(BE6:BE14)</f>
        <v>25249664.170000028</v>
      </c>
      <c r="BF15" s="109">
        <f>SUM(BF7:BF14)</f>
        <v>0</v>
      </c>
      <c r="BG15" s="3"/>
      <c r="BH15" s="109">
        <f>SUM(BH6:BH14)</f>
        <v>0</v>
      </c>
      <c r="BI15" s="109">
        <f>SUM(BI6:BI14)</f>
        <v>-79860</v>
      </c>
      <c r="BJ15" s="108">
        <f>SUM(BJ6:BJ14)</f>
        <v>25169804.170000028</v>
      </c>
      <c r="BK15" s="109">
        <f>SUM(BK7:BK14)</f>
        <v>0</v>
      </c>
      <c r="BL15" s="3"/>
      <c r="BM15" s="109">
        <f>SUM(BM6:BM14)</f>
        <v>0</v>
      </c>
      <c r="BN15" s="109">
        <f>SUM(BN6:BN14)</f>
        <v>-1794516.24</v>
      </c>
      <c r="BO15" s="108">
        <f>SUM(BO6:BO14)</f>
        <v>23375287.93000003</v>
      </c>
      <c r="BP15" s="109">
        <f>SUM(BP7:BP14)</f>
        <v>0</v>
      </c>
      <c r="BQ15" s="3"/>
      <c r="BR15" s="109">
        <f>SUM(BR6:BR14)</f>
        <v>0</v>
      </c>
      <c r="BS15" s="109">
        <f>SUM(BS6:BS14)</f>
        <v>-5108978.55</v>
      </c>
      <c r="BT15" s="108">
        <f>SUM(BT6:BT14)</f>
        <v>18266309.38000003</v>
      </c>
      <c r="BU15" s="109">
        <f>SUM(BU7:BU14)</f>
        <v>0</v>
      </c>
      <c r="BV15" s="3"/>
      <c r="BW15" s="109">
        <f>SUM(BW6:BW14)</f>
        <v>0</v>
      </c>
      <c r="BX15" s="109">
        <f>SUM(BX6:BX14)</f>
        <v>-1792453.83</v>
      </c>
      <c r="BY15" s="108">
        <f>SUM(BY6:BY14)</f>
        <v>16473855.550000029</v>
      </c>
      <c r="BZ15" s="109">
        <f>SUM(BZ7:BZ14)</f>
        <v>0</v>
      </c>
      <c r="CA15" s="3"/>
      <c r="CB15" s="109">
        <f>SUM(CB6:CB14)</f>
        <v>0</v>
      </c>
      <c r="CC15" s="109">
        <f>SUM(CC6:CC14)</f>
        <v>-355273.73</v>
      </c>
      <c r="CD15" s="108">
        <f>SUM(CD6:CD14)</f>
        <v>16118581.820000028</v>
      </c>
      <c r="CE15" s="109">
        <f>SUM(CE7:CE14)</f>
        <v>0</v>
      </c>
      <c r="CF15" s="3"/>
      <c r="CG15" s="109">
        <f>SUM(CG6:CG14)</f>
        <v>0</v>
      </c>
      <c r="CH15" s="109">
        <f>SUM(CH6:CH14)</f>
        <v>-92713.66</v>
      </c>
      <c r="CI15" s="108">
        <f>SUM(CI6:CI14)</f>
        <v>16025868.160000028</v>
      </c>
      <c r="CJ15" s="109">
        <f>SUM(CJ7:CJ14)</f>
        <v>0</v>
      </c>
      <c r="CK15" s="3"/>
      <c r="CL15" s="109">
        <f>SUM(CL6:CL14)</f>
        <v>0</v>
      </c>
      <c r="CM15" s="109">
        <f>SUM(CM6:CM14)</f>
        <v>0</v>
      </c>
      <c r="CN15" s="108">
        <f>SUM(CN6:CN14)</f>
        <v>16025868.160000028</v>
      </c>
      <c r="CO15" s="109">
        <f>SUM(CO7:CO14)</f>
        <v>0</v>
      </c>
      <c r="CP15" s="3"/>
      <c r="CQ15" s="109">
        <f>SUM(CQ6:CQ14)</f>
        <v>0</v>
      </c>
      <c r="CR15" s="109">
        <f>SUM(CR6:CR14)</f>
        <v>-1629657.54</v>
      </c>
      <c r="CS15" s="108">
        <f>SUM(CS6:CS14)</f>
        <v>14396210.620000027</v>
      </c>
      <c r="CT15" s="109">
        <f>SUM(CT7:CT14)</f>
        <v>0</v>
      </c>
      <c r="CU15" s="3"/>
      <c r="CV15" s="109">
        <f>SUM(CV6:CV14)</f>
        <v>0</v>
      </c>
      <c r="CW15" s="109">
        <f>SUM(CW6:CW14)</f>
        <v>-7954000.3</v>
      </c>
      <c r="CX15" s="108">
        <f>SUM(CX6:CX14)</f>
        <v>6442210.320000027</v>
      </c>
      <c r="CY15" s="109">
        <f>SUM(CY7:CY14)</f>
        <v>0</v>
      </c>
      <c r="CZ15" s="3"/>
      <c r="DA15" s="109">
        <f>SUM(DA6:DA14)</f>
        <v>0</v>
      </c>
      <c r="DB15" s="109">
        <f>SUM(DB6:DB14)</f>
        <v>0</v>
      </c>
      <c r="DC15" s="108">
        <f>SUM(DC6:DC14)</f>
        <v>6442210.320000027</v>
      </c>
      <c r="DD15" s="109">
        <f>SUM(DD7:DD14)</f>
        <v>0</v>
      </c>
      <c r="DE15" s="3"/>
      <c r="DF15" s="109">
        <f>SUM(DF6:DF14)</f>
        <v>0</v>
      </c>
      <c r="DG15" s="109">
        <f>SUM(DG6:DG14)</f>
        <v>0</v>
      </c>
      <c r="DH15" s="108">
        <f>SUM(DH6:DH14)</f>
        <v>6442210.320000027</v>
      </c>
      <c r="DI15" s="109">
        <f>SUM(DI7:DI14)</f>
        <v>0</v>
      </c>
      <c r="DJ15" s="3"/>
      <c r="DK15" s="109">
        <f>SUM(DK6:DK14)</f>
        <v>0</v>
      </c>
      <c r="DL15" s="109">
        <f>SUM(DL6:DL14)</f>
        <v>0</v>
      </c>
      <c r="DM15" s="108">
        <f>SUM(DM6:DM14)</f>
        <v>6442210.320000027</v>
      </c>
      <c r="DN15" s="109">
        <f>SUM(DN7:DN14)</f>
        <v>0</v>
      </c>
      <c r="DO15" s="3"/>
      <c r="DP15" s="109">
        <f>SUM(DP6:DP14)</f>
        <v>0</v>
      </c>
      <c r="DQ15" s="109">
        <f>SUM(DQ6:DQ14)</f>
        <v>-376025</v>
      </c>
      <c r="DR15" s="108">
        <f>SUM(DR6:DR14)</f>
        <v>6066185.320000027</v>
      </c>
      <c r="DS15" s="109">
        <f>SUM(DS7:DS14)</f>
        <v>0</v>
      </c>
      <c r="DT15" s="3"/>
      <c r="DU15" s="109">
        <f>SUM(DU6:DU14)</f>
        <v>0</v>
      </c>
      <c r="DV15" s="109">
        <f>SUM(DV6:DV14)</f>
        <v>0</v>
      </c>
      <c r="DW15" s="108">
        <f>SUM(DW6:DW14)</f>
        <v>6066185.320000027</v>
      </c>
      <c r="DX15" s="109">
        <f>SUM(DX7:DX14)</f>
        <v>0</v>
      </c>
      <c r="DY15" s="3"/>
      <c r="DZ15" s="109">
        <f>SUM(DZ6:DZ14)</f>
        <v>0</v>
      </c>
      <c r="EA15" s="109">
        <f>SUM(EA6:EA14)</f>
        <v>-150411</v>
      </c>
      <c r="EB15" s="108">
        <f>SUM(EB6:EB14)</f>
        <v>5915774.320000027</v>
      </c>
      <c r="EC15" s="109">
        <f>SUM(EC7:EC14)</f>
        <v>0</v>
      </c>
      <c r="ED15" s="3"/>
      <c r="EE15" s="109">
        <f>SUM(EE6:EE14)</f>
        <v>0</v>
      </c>
      <c r="EF15" s="109">
        <f>SUM(EF6:EF14)</f>
        <v>0</v>
      </c>
      <c r="EG15" s="108">
        <f>SUM(EG6:EG14)</f>
        <v>5915774.320000027</v>
      </c>
      <c r="EH15" s="109">
        <f>SUM(EH7:EH14)</f>
        <v>0</v>
      </c>
      <c r="EI15" s="3"/>
      <c r="EJ15" s="109">
        <f>SUM(EJ6:EJ14)</f>
        <v>0</v>
      </c>
      <c r="EK15" s="109">
        <f>SUM(EK6:EK14)</f>
        <v>-1115176</v>
      </c>
      <c r="EL15" s="108">
        <f>SUM(EL6:EL14)</f>
        <v>4800598.320000027</v>
      </c>
      <c r="EM15" s="109">
        <f>SUM(EM7:EM14)</f>
        <v>0</v>
      </c>
      <c r="EN15" s="3"/>
      <c r="EO15" s="109">
        <f>SUM(EO6:EO14)</f>
        <v>0</v>
      </c>
      <c r="EP15" s="109">
        <f>SUM(EP6:EP14)</f>
        <v>-3376331</v>
      </c>
      <c r="EQ15" s="108">
        <f>SUM(EQ6:EQ14)</f>
        <v>1424267.3200000273</v>
      </c>
      <c r="ER15" s="109">
        <f>SUM(ER7:ER14)</f>
        <v>0</v>
      </c>
      <c r="ES15" s="3"/>
      <c r="ET15" s="109">
        <f>SUM(ET6:ET14)</f>
        <v>0</v>
      </c>
      <c r="EU15" s="109">
        <f>SUM(EU6:EU14)</f>
        <v>-186825</v>
      </c>
      <c r="EV15" s="108">
        <f>SUM(EV6:EV14)</f>
        <v>1237442.3200000273</v>
      </c>
      <c r="EW15" s="109">
        <f>SUM(EW7:EW14)</f>
        <v>0</v>
      </c>
      <c r="EX15" s="3"/>
      <c r="EY15" s="109">
        <f>SUM(EY6:EY14)</f>
        <v>0</v>
      </c>
      <c r="EZ15" s="109">
        <f>SUM(EZ6:EZ14)</f>
        <v>-18207</v>
      </c>
      <c r="FA15" s="108">
        <f>SUM(FA6:FA14)</f>
        <v>1219235.3200000273</v>
      </c>
      <c r="FB15" s="109">
        <f>SUM(FB7:FB14)</f>
        <v>0</v>
      </c>
      <c r="FC15" s="3"/>
      <c r="FD15" s="109">
        <f>SUM(FD6:FD14)</f>
        <v>0</v>
      </c>
      <c r="FE15" s="109">
        <f>SUM(FE6:FE14)</f>
        <v>-199234.32</v>
      </c>
      <c r="FF15" s="108">
        <f>SUM(FF6:FF14)</f>
        <v>1020001.0000000272</v>
      </c>
      <c r="FG15" s="109">
        <f>SUM(FG7:FG14)</f>
        <v>0</v>
      </c>
      <c r="FH15" s="3"/>
      <c r="FI15" s="109">
        <f>SUM(FI6:FI14)</f>
        <v>0</v>
      </c>
      <c r="FJ15" s="109">
        <f>SUM(FJ6:FJ14)</f>
        <v>-758208</v>
      </c>
      <c r="FK15" s="108">
        <f>SUM(FK6:FK14)</f>
        <v>261793.00000002724</v>
      </c>
      <c r="FL15" s="109">
        <f>SUM(FL7:FL14)</f>
        <v>0</v>
      </c>
      <c r="FM15" s="3"/>
      <c r="FN15" s="109">
        <f>SUM(FN6:FN14)</f>
        <v>0</v>
      </c>
      <c r="FO15" s="109">
        <f>SUM(FO6:FO14)</f>
        <v>0</v>
      </c>
      <c r="FP15" s="108">
        <f>SUM(FP6:FP14)</f>
        <v>261793.00000002724</v>
      </c>
      <c r="FQ15" s="109">
        <f>SUM(FQ7:FQ14)</f>
        <v>0</v>
      </c>
      <c r="FR15" s="3"/>
      <c r="FS15" s="109">
        <f>SUM(FS6:FS14)</f>
        <v>0</v>
      </c>
      <c r="FT15" s="109">
        <f>SUM(FT6:FT14)</f>
        <v>0</v>
      </c>
      <c r="FU15" s="108">
        <f>SUM(FU6:FU14)</f>
        <v>261793.00000002724</v>
      </c>
      <c r="FV15" s="109">
        <f>SUM(FV7:FV14)</f>
        <v>0</v>
      </c>
      <c r="FW15" s="3"/>
      <c r="FX15" s="109">
        <f>SUM(FX6:FX14)</f>
        <v>0</v>
      </c>
      <c r="FY15" s="109">
        <f>SUM(FY6:FY14)</f>
        <v>0</v>
      </c>
      <c r="FZ15" s="108">
        <f>SUM(FZ6:FZ14)</f>
        <v>261793.00000002724</v>
      </c>
      <c r="GA15" s="109">
        <f>SUM(GA7:GA14)</f>
        <v>0</v>
      </c>
      <c r="GB15" s="3"/>
      <c r="GC15" s="109">
        <f>SUM(GC6:GC14)</f>
        <v>0</v>
      </c>
      <c r="GD15" s="109">
        <f>SUM(GD6:GD14)</f>
        <v>0</v>
      </c>
      <c r="GE15" s="108">
        <f>SUM(GE6:GE14)</f>
        <v>261793.00000002724</v>
      </c>
      <c r="GF15" s="109">
        <f>SUM(GF7:GF14)</f>
        <v>0</v>
      </c>
      <c r="GG15" s="3"/>
      <c r="GH15" s="109">
        <f>SUM(GH6:GH14)</f>
        <v>0</v>
      </c>
      <c r="GI15" s="109">
        <f>SUM(GI6:GI14)</f>
        <v>0</v>
      </c>
      <c r="GJ15" s="108">
        <f>SUM(GJ6:GJ14)</f>
        <v>261793.00000002724</v>
      </c>
    </row>
    <row r="16" ht="13.5" thickTop="1"/>
    <row r="18" ht="12.75">
      <c r="B18" s="99">
        <v>-5597736.8</v>
      </c>
    </row>
    <row r="19" spans="1:191" ht="12.75">
      <c r="A19" t="s">
        <v>13</v>
      </c>
      <c r="F19" s="99">
        <f>B18+F6</f>
        <v>-6866924.97</v>
      </c>
      <c r="K19" s="99">
        <f>F19+K6</f>
        <v>-7425253.37</v>
      </c>
      <c r="P19" s="99">
        <f>K19+P6</f>
        <v>-7562635.13</v>
      </c>
      <c r="U19" s="99">
        <f>P19+U6</f>
        <v>-7974403.18</v>
      </c>
      <c r="Z19" s="99">
        <f>U19+Z6</f>
        <v>-8192873.7299999995</v>
      </c>
      <c r="AE19" s="99">
        <f>Z19+AE6</f>
        <v>-11011394.57</v>
      </c>
      <c r="AJ19" s="99">
        <f>AE19+AJ6</f>
        <v>-13512317.17</v>
      </c>
      <c r="AO19" s="99">
        <f>AJ19+AO6</f>
        <v>-25699929.05</v>
      </c>
      <c r="AT19" s="99">
        <f>AT6</f>
        <v>-771367.94</v>
      </c>
      <c r="AY19" s="99">
        <f>AT19+AY6</f>
        <v>-1193414.18</v>
      </c>
      <c r="BD19" s="99">
        <f>AY19+BD6</f>
        <v>-2530886.91</v>
      </c>
      <c r="BI19" s="99">
        <f>BD19+BI6</f>
        <v>-2610746.91</v>
      </c>
      <c r="BN19" s="99">
        <f>BI19+BN6</f>
        <v>-4405263.15</v>
      </c>
      <c r="BS19" s="99">
        <f>BN19+BS6</f>
        <v>-9514241.7</v>
      </c>
      <c r="BX19" s="99">
        <f>BS19+BX6</f>
        <v>-11306695.53</v>
      </c>
      <c r="CC19" s="99">
        <f>BX19+CC6</f>
        <v>-11661969.26</v>
      </c>
      <c r="CH19" s="99">
        <f>CC19+CH6</f>
        <v>-11754682.92</v>
      </c>
      <c r="CM19" s="99">
        <f>CH19+CM6</f>
        <v>-11754682.92</v>
      </c>
      <c r="CR19" s="99">
        <f>CM19+CR6</f>
        <v>-13384340.46</v>
      </c>
      <c r="CW19" s="99">
        <f>CR19+CW6</f>
        <v>-21338340.76</v>
      </c>
      <c r="DB19" s="99">
        <v>0</v>
      </c>
      <c r="DG19" s="99">
        <f>DB19+DG6</f>
        <v>0</v>
      </c>
      <c r="DL19" s="99">
        <f>DG19+DL6</f>
        <v>0</v>
      </c>
      <c r="DQ19" s="99">
        <f>DL19+DQ6</f>
        <v>-376025</v>
      </c>
      <c r="DV19" s="99">
        <f>DQ19+DV6</f>
        <v>-376025</v>
      </c>
      <c r="EA19" s="99">
        <f>DV19+EA6</f>
        <v>-526436</v>
      </c>
      <c r="EF19" s="99">
        <f>EA19+EF6</f>
        <v>-526436</v>
      </c>
      <c r="EK19" s="99">
        <f>EF19+EK6</f>
        <v>-1641612</v>
      </c>
      <c r="EP19" s="99">
        <f>EK19+EP6</f>
        <v>-5017943</v>
      </c>
      <c r="EU19" s="99">
        <f>EP19+EU6</f>
        <v>-5204768</v>
      </c>
      <c r="EZ19" s="99">
        <f>EU19+EZ6</f>
        <v>-5222975</v>
      </c>
      <c r="FE19" s="99">
        <f>EZ19+FE6</f>
        <v>-5422209.32</v>
      </c>
      <c r="FJ19" s="99">
        <f>FE19+FJ6</f>
        <v>-6180417.32</v>
      </c>
      <c r="FO19" s="99">
        <f>FJ19+FO6</f>
        <v>-6180417.32</v>
      </c>
      <c r="FT19" s="99">
        <f>FO19+FT6</f>
        <v>-6180417.32</v>
      </c>
      <c r="FY19" s="99">
        <f>FT19+FY6</f>
        <v>-6180417.32</v>
      </c>
      <c r="GD19" s="99">
        <f>FY19+GD6</f>
        <v>-6180417.32</v>
      </c>
      <c r="GI19" s="99">
        <f>GD19+GI6</f>
        <v>-6180417.32</v>
      </c>
    </row>
    <row r="21" spans="2:192" ht="12.75">
      <c r="B21" s="104"/>
      <c r="D21" t="s">
        <v>34</v>
      </c>
      <c r="G21" s="104"/>
      <c r="I21" t="s">
        <v>34</v>
      </c>
      <c r="L21" s="104"/>
      <c r="N21" t="s">
        <v>34</v>
      </c>
      <c r="Q21" s="104"/>
      <c r="S21" t="s">
        <v>34</v>
      </c>
      <c r="V21" s="104"/>
      <c r="X21" t="s">
        <v>34</v>
      </c>
      <c r="AA21" s="104"/>
      <c r="AC21" t="s">
        <v>34</v>
      </c>
      <c r="AF21" s="104"/>
      <c r="AH21" t="s">
        <v>34</v>
      </c>
      <c r="AK21" s="104"/>
      <c r="AM21" t="s">
        <v>34</v>
      </c>
      <c r="AP21" s="104"/>
      <c r="AR21" t="s">
        <v>34</v>
      </c>
      <c r="AU21" s="104"/>
      <c r="AW21" t="s">
        <v>34</v>
      </c>
      <c r="AZ21" s="104"/>
      <c r="BB21" t="s">
        <v>34</v>
      </c>
      <c r="BE21" s="104"/>
      <c r="BG21" t="s">
        <v>34</v>
      </c>
      <c r="BJ21" s="104"/>
      <c r="BL21" t="s">
        <v>34</v>
      </c>
      <c r="BO21" s="104"/>
      <c r="BQ21" t="s">
        <v>34</v>
      </c>
      <c r="BT21" s="104"/>
      <c r="BV21" t="s">
        <v>34</v>
      </c>
      <c r="BY21" s="104"/>
      <c r="CA21" t="s">
        <v>34</v>
      </c>
      <c r="CD21" s="104"/>
      <c r="CF21" t="s">
        <v>34</v>
      </c>
      <c r="CI21" s="104"/>
      <c r="CK21" t="s">
        <v>34</v>
      </c>
      <c r="CN21" s="104"/>
      <c r="CP21" t="s">
        <v>34</v>
      </c>
      <c r="CS21" s="104"/>
      <c r="CU21" t="s">
        <v>34</v>
      </c>
      <c r="CX21" s="104"/>
      <c r="CZ21" t="s">
        <v>34</v>
      </c>
      <c r="DC21" s="104"/>
      <c r="DE21" t="s">
        <v>34</v>
      </c>
      <c r="DH21" s="104"/>
      <c r="DJ21" t="s">
        <v>34</v>
      </c>
      <c r="DM21" s="104"/>
      <c r="DO21" t="s">
        <v>34</v>
      </c>
      <c r="DR21" s="104"/>
      <c r="DT21" t="s">
        <v>34</v>
      </c>
      <c r="DW21" s="104"/>
      <c r="DY21" t="s">
        <v>34</v>
      </c>
      <c r="EB21" s="104"/>
      <c r="ED21" t="s">
        <v>34</v>
      </c>
      <c r="EG21" s="104"/>
      <c r="EI21" t="s">
        <v>34</v>
      </c>
      <c r="EL21" s="104"/>
      <c r="EN21" t="s">
        <v>34</v>
      </c>
      <c r="EQ21" s="104"/>
      <c r="ES21" t="s">
        <v>34</v>
      </c>
      <c r="EV21" s="104"/>
      <c r="EX21" t="s">
        <v>34</v>
      </c>
      <c r="FA21" s="104"/>
      <c r="FC21" t="s">
        <v>34</v>
      </c>
      <c r="FF21" s="104"/>
      <c r="FH21" t="s">
        <v>34</v>
      </c>
      <c r="FK21" s="104"/>
      <c r="FM21" t="s">
        <v>34</v>
      </c>
      <c r="FP21" s="104"/>
      <c r="FR21" t="s">
        <v>34</v>
      </c>
      <c r="FU21" s="104"/>
      <c r="FW21" t="s">
        <v>34</v>
      </c>
      <c r="FZ21" s="104"/>
      <c r="GB21" t="s">
        <v>34</v>
      </c>
      <c r="GE21" s="104"/>
      <c r="GG21" t="s">
        <v>34</v>
      </c>
      <c r="GJ21" s="104"/>
    </row>
    <row r="23" spans="2:192" ht="12.75">
      <c r="B23" s="17"/>
      <c r="D23" t="s">
        <v>35</v>
      </c>
      <c r="G23" s="17"/>
      <c r="I23" t="s">
        <v>35</v>
      </c>
      <c r="L23" s="17"/>
      <c r="N23" t="s">
        <v>35</v>
      </c>
      <c r="Q23" s="17"/>
      <c r="S23" t="s">
        <v>35</v>
      </c>
      <c r="V23" s="17"/>
      <c r="X23" t="s">
        <v>35</v>
      </c>
      <c r="Z23" s="99">
        <f>AA15</f>
        <v>45287606.40000003</v>
      </c>
      <c r="AA23" s="17"/>
      <c r="AC23" t="s">
        <v>35</v>
      </c>
      <c r="AE23" s="99">
        <f>AF15</f>
        <v>42469085.56000003</v>
      </c>
      <c r="AF23" s="17"/>
      <c r="AH23" t="s">
        <v>35</v>
      </c>
      <c r="AJ23" s="99">
        <f>AK15</f>
        <v>39968162.96000003</v>
      </c>
      <c r="AK23" s="17"/>
      <c r="AM23" t="s">
        <v>35</v>
      </c>
      <c r="AO23" s="99">
        <f>AP15</f>
        <v>27780551.080000028</v>
      </c>
      <c r="AP23" s="17"/>
      <c r="AR23" t="s">
        <v>35</v>
      </c>
      <c r="AU23" s="17"/>
      <c r="AW23" t="s">
        <v>35</v>
      </c>
      <c r="AZ23" s="17"/>
      <c r="BB23" t="s">
        <v>35</v>
      </c>
      <c r="BE23" s="17"/>
      <c r="BG23" t="s">
        <v>35</v>
      </c>
      <c r="BJ23" s="17"/>
      <c r="BL23" t="s">
        <v>35</v>
      </c>
      <c r="BO23" s="17"/>
      <c r="BQ23" t="s">
        <v>35</v>
      </c>
      <c r="BT23" s="17"/>
      <c r="BV23" t="s">
        <v>35</v>
      </c>
      <c r="BY23" s="17"/>
      <c r="CA23" t="s">
        <v>35</v>
      </c>
      <c r="CD23" s="17"/>
      <c r="CF23" t="s">
        <v>35</v>
      </c>
      <c r="CI23" s="17"/>
      <c r="CK23" t="s">
        <v>35</v>
      </c>
      <c r="CN23" s="17"/>
      <c r="CP23" t="s">
        <v>35</v>
      </c>
      <c r="CS23" s="17"/>
      <c r="CU23" t="s">
        <v>35</v>
      </c>
      <c r="CX23" s="17"/>
      <c r="CZ23" t="s">
        <v>35</v>
      </c>
      <c r="DC23" s="17"/>
      <c r="DE23" t="s">
        <v>35</v>
      </c>
      <c r="DH23" s="17"/>
      <c r="DJ23" t="s">
        <v>35</v>
      </c>
      <c r="DM23" s="17"/>
      <c r="DO23" t="s">
        <v>35</v>
      </c>
      <c r="DR23" s="17"/>
      <c r="DT23" t="s">
        <v>35</v>
      </c>
      <c r="DW23" s="17"/>
      <c r="DY23" t="s">
        <v>35</v>
      </c>
      <c r="EB23" s="17"/>
      <c r="ED23" t="s">
        <v>35</v>
      </c>
      <c r="EG23" s="17"/>
      <c r="EI23" t="s">
        <v>35</v>
      </c>
      <c r="EL23" s="17"/>
      <c r="EN23" t="s">
        <v>35</v>
      </c>
      <c r="EQ23" s="17"/>
      <c r="ES23" t="s">
        <v>35</v>
      </c>
      <c r="EV23" s="17"/>
      <c r="EX23" t="s">
        <v>35</v>
      </c>
      <c r="FA23" s="17"/>
      <c r="FC23" t="s">
        <v>35</v>
      </c>
      <c r="FF23" s="17"/>
      <c r="FH23" t="s">
        <v>35</v>
      </c>
      <c r="FK23" s="17"/>
      <c r="FM23" t="s">
        <v>35</v>
      </c>
      <c r="FP23" s="17"/>
      <c r="FR23" t="s">
        <v>35</v>
      </c>
      <c r="FU23" s="17"/>
      <c r="FW23" t="s">
        <v>35</v>
      </c>
      <c r="FZ23" s="17"/>
      <c r="GB23" t="s">
        <v>35</v>
      </c>
      <c r="GE23" s="17"/>
      <c r="GG23" t="s">
        <v>35</v>
      </c>
      <c r="GJ23" s="17"/>
    </row>
    <row r="24" spans="26:41" ht="12.75">
      <c r="Z24" s="99">
        <v>17199997</v>
      </c>
      <c r="AE24" s="99">
        <v>17199997</v>
      </c>
      <c r="AJ24" s="99">
        <v>17199997</v>
      </c>
      <c r="AO24" s="99">
        <v>17199997</v>
      </c>
    </row>
    <row r="25" spans="2:192" ht="12.75">
      <c r="B25" s="103">
        <f>SUM(B26:B29)</f>
        <v>0</v>
      </c>
      <c r="D25" t="s">
        <v>33</v>
      </c>
      <c r="G25" s="103">
        <f>SUM(G26:G29)</f>
        <v>0</v>
      </c>
      <c r="I25" t="s">
        <v>33</v>
      </c>
      <c r="L25" s="103">
        <f>SUM(L26:L29)</f>
        <v>0</v>
      </c>
      <c r="N25" t="s">
        <v>33</v>
      </c>
      <c r="Q25" s="103">
        <f>SUM(Q26:Q29)</f>
        <v>0</v>
      </c>
      <c r="S25" t="s">
        <v>33</v>
      </c>
      <c r="V25" s="103">
        <f>SUM(V26:V29)</f>
        <v>0</v>
      </c>
      <c r="X25" t="s">
        <v>33</v>
      </c>
      <c r="Z25" s="99">
        <f>Z23-Z24</f>
        <v>28087609.40000003</v>
      </c>
      <c r="AA25" s="103">
        <f>SUM(AA26:AA29)</f>
        <v>0</v>
      </c>
      <c r="AC25" t="s">
        <v>33</v>
      </c>
      <c r="AE25" s="99">
        <f>AE23-AE24</f>
        <v>25269088.560000032</v>
      </c>
      <c r="AF25" s="103">
        <f>SUM(AF26:AF29)</f>
        <v>0</v>
      </c>
      <c r="AH25" t="s">
        <v>33</v>
      </c>
      <c r="AJ25" s="99">
        <f>AJ23-AJ24</f>
        <v>22768165.96000003</v>
      </c>
      <c r="AK25" s="103">
        <f>SUM(AK26:AK29)</f>
        <v>0</v>
      </c>
      <c r="AM25" t="s">
        <v>33</v>
      </c>
      <c r="AO25" s="99">
        <f>AO23-AO24</f>
        <v>10580554.080000028</v>
      </c>
      <c r="AP25" s="103">
        <f>SUM(AP26:AP29)</f>
        <v>0</v>
      </c>
      <c r="AR25" t="s">
        <v>33</v>
      </c>
      <c r="AU25" s="103">
        <f>SUM(AU26:AU29)</f>
        <v>0</v>
      </c>
      <c r="AW25" t="s">
        <v>33</v>
      </c>
      <c r="AZ25" s="103">
        <f>SUM(AZ26:AZ29)</f>
        <v>0</v>
      </c>
      <c r="BB25" t="s">
        <v>33</v>
      </c>
      <c r="BE25" s="103">
        <f>SUM(BE26:BE29)</f>
        <v>0</v>
      </c>
      <c r="BG25" t="s">
        <v>33</v>
      </c>
      <c r="BJ25" s="103">
        <f>SUM(BJ26:BJ29)</f>
        <v>0</v>
      </c>
      <c r="BL25" t="s">
        <v>33</v>
      </c>
      <c r="BO25" s="103">
        <f>SUM(BO26:BO29)</f>
        <v>0</v>
      </c>
      <c r="BQ25" t="s">
        <v>33</v>
      </c>
      <c r="BT25" s="103">
        <f>SUM(BT26:BT29)</f>
        <v>0</v>
      </c>
      <c r="BV25" t="s">
        <v>33</v>
      </c>
      <c r="BY25" s="103">
        <f>SUM(BY26:BY29)</f>
        <v>0</v>
      </c>
      <c r="CA25" t="s">
        <v>33</v>
      </c>
      <c r="CD25" s="103">
        <f>SUM(CD26:CD29)</f>
        <v>0</v>
      </c>
      <c r="CF25" t="s">
        <v>33</v>
      </c>
      <c r="CI25" s="103">
        <f>SUM(CI26:CI29)</f>
        <v>0</v>
      </c>
      <c r="CK25" t="s">
        <v>33</v>
      </c>
      <c r="CN25" s="103">
        <f>SUM(CN26:CN29)</f>
        <v>0</v>
      </c>
      <c r="CP25" t="s">
        <v>33</v>
      </c>
      <c r="CS25" s="103">
        <f>SUM(CS26:CS29)</f>
        <v>0</v>
      </c>
      <c r="CU25" t="s">
        <v>33</v>
      </c>
      <c r="CX25" s="103">
        <f>SUM(CX26:CX29)</f>
        <v>0</v>
      </c>
      <c r="CZ25" t="s">
        <v>33</v>
      </c>
      <c r="DC25" s="103">
        <f>SUM(DC26:DC29)</f>
        <v>0</v>
      </c>
      <c r="DE25" t="s">
        <v>33</v>
      </c>
      <c r="DH25" s="103">
        <f>SUM(DH26:DH29)</f>
        <v>0</v>
      </c>
      <c r="DJ25" t="s">
        <v>33</v>
      </c>
      <c r="DM25" s="103">
        <f>SUM(DM26:DM29)</f>
        <v>0</v>
      </c>
      <c r="DO25" t="s">
        <v>33</v>
      </c>
      <c r="DR25" s="103">
        <f>SUM(DR26:DR29)</f>
        <v>0</v>
      </c>
      <c r="DT25" t="s">
        <v>33</v>
      </c>
      <c r="DW25" s="103">
        <f>SUM(DW26:DW29)</f>
        <v>0</v>
      </c>
      <c r="DY25" t="s">
        <v>33</v>
      </c>
      <c r="EB25" s="103">
        <f>SUM(EB26:EB29)</f>
        <v>0</v>
      </c>
      <c r="ED25" t="s">
        <v>33</v>
      </c>
      <c r="EG25" s="103">
        <f>SUM(EG26:EG29)</f>
        <v>0</v>
      </c>
      <c r="EI25" t="s">
        <v>33</v>
      </c>
      <c r="EL25" s="103">
        <f>SUM(EL26:EL29)</f>
        <v>0</v>
      </c>
      <c r="EN25" t="s">
        <v>33</v>
      </c>
      <c r="EQ25" s="103">
        <f>SUM(EQ26:EQ29)</f>
        <v>0</v>
      </c>
      <c r="ES25" t="s">
        <v>33</v>
      </c>
      <c r="EV25" s="103">
        <f>SUM(EV26:EV29)</f>
        <v>0</v>
      </c>
      <c r="EX25" t="s">
        <v>33</v>
      </c>
      <c r="FA25" s="103">
        <f>SUM(FA26:FA29)</f>
        <v>0</v>
      </c>
      <c r="FC25" t="s">
        <v>33</v>
      </c>
      <c r="FF25" s="103">
        <f>SUM(FF26:FF29)</f>
        <v>0</v>
      </c>
      <c r="FH25" t="s">
        <v>33</v>
      </c>
      <c r="FK25" s="103">
        <f>SUM(FK26:FK29)</f>
        <v>0</v>
      </c>
      <c r="FM25" t="s">
        <v>33</v>
      </c>
      <c r="FP25" s="103">
        <f>SUM(FP26:FP29)</f>
        <v>0</v>
      </c>
      <c r="FR25" t="s">
        <v>33</v>
      </c>
      <c r="FU25" s="103">
        <f>SUM(FU26:FU29)</f>
        <v>0</v>
      </c>
      <c r="FW25" t="s">
        <v>33</v>
      </c>
      <c r="FZ25" s="103">
        <f>SUM(FZ26:FZ29)</f>
        <v>0</v>
      </c>
      <c r="GB25" t="s">
        <v>33</v>
      </c>
      <c r="GE25" s="103">
        <f>SUM(GE26:GE29)</f>
        <v>0</v>
      </c>
      <c r="GG25" t="s">
        <v>33</v>
      </c>
      <c r="GJ25" s="103">
        <f>SUM(GJ26:GJ29)</f>
        <v>0</v>
      </c>
    </row>
    <row r="26" spans="2:192" ht="12.75">
      <c r="B26" s="110"/>
      <c r="D26" t="s">
        <v>31</v>
      </c>
      <c r="G26" s="110"/>
      <c r="I26" t="s">
        <v>31</v>
      </c>
      <c r="L26" s="110"/>
      <c r="N26" t="s">
        <v>31</v>
      </c>
      <c r="Q26" s="110"/>
      <c r="S26" t="s">
        <v>31</v>
      </c>
      <c r="V26" s="110"/>
      <c r="X26" t="s">
        <v>31</v>
      </c>
      <c r="AA26" s="110"/>
      <c r="AC26" t="s">
        <v>31</v>
      </c>
      <c r="AF26" s="110"/>
      <c r="AH26" t="s">
        <v>31</v>
      </c>
      <c r="AK26" s="110"/>
      <c r="AM26" t="s">
        <v>31</v>
      </c>
      <c r="AP26" s="110"/>
      <c r="AR26" t="s">
        <v>31</v>
      </c>
      <c r="AU26" s="110"/>
      <c r="AW26" t="s">
        <v>31</v>
      </c>
      <c r="AZ26" s="110"/>
      <c r="BB26" t="s">
        <v>31</v>
      </c>
      <c r="BE26" s="110"/>
      <c r="BG26" t="s">
        <v>31</v>
      </c>
      <c r="BJ26" s="110"/>
      <c r="BL26" t="s">
        <v>31</v>
      </c>
      <c r="BO26" s="110"/>
      <c r="BQ26" t="s">
        <v>31</v>
      </c>
      <c r="BT26" s="110"/>
      <c r="BV26" t="s">
        <v>31</v>
      </c>
      <c r="BY26" s="110"/>
      <c r="CA26" t="s">
        <v>31</v>
      </c>
      <c r="CD26" s="110"/>
      <c r="CF26" t="s">
        <v>31</v>
      </c>
      <c r="CI26" s="110"/>
      <c r="CK26" t="s">
        <v>31</v>
      </c>
      <c r="CN26" s="110"/>
      <c r="CP26" t="s">
        <v>31</v>
      </c>
      <c r="CS26" s="110"/>
      <c r="CU26" t="s">
        <v>31</v>
      </c>
      <c r="CX26" s="110"/>
      <c r="CZ26" t="s">
        <v>31</v>
      </c>
      <c r="DC26" s="110"/>
      <c r="DE26" t="s">
        <v>31</v>
      </c>
      <c r="DH26" s="110"/>
      <c r="DJ26" t="s">
        <v>31</v>
      </c>
      <c r="DM26" s="110"/>
      <c r="DO26" t="s">
        <v>31</v>
      </c>
      <c r="DR26" s="110"/>
      <c r="DT26" t="s">
        <v>31</v>
      </c>
      <c r="DW26" s="110"/>
      <c r="DY26" t="s">
        <v>31</v>
      </c>
      <c r="EB26" s="110"/>
      <c r="ED26" t="s">
        <v>31</v>
      </c>
      <c r="EG26" s="110"/>
      <c r="EI26" t="s">
        <v>31</v>
      </c>
      <c r="EL26" s="110"/>
      <c r="EN26" t="s">
        <v>31</v>
      </c>
      <c r="EQ26" s="110"/>
      <c r="ES26" t="s">
        <v>31</v>
      </c>
      <c r="EV26" s="110"/>
      <c r="EX26" t="s">
        <v>31</v>
      </c>
      <c r="FA26" s="110"/>
      <c r="FC26" t="s">
        <v>31</v>
      </c>
      <c r="FF26" s="110"/>
      <c r="FH26" t="s">
        <v>31</v>
      </c>
      <c r="FK26" s="110"/>
      <c r="FM26" t="s">
        <v>31</v>
      </c>
      <c r="FP26" s="110"/>
      <c r="FR26" t="s">
        <v>31</v>
      </c>
      <c r="FU26" s="110"/>
      <c r="FW26" t="s">
        <v>31</v>
      </c>
      <c r="FZ26" s="110"/>
      <c r="GB26" t="s">
        <v>31</v>
      </c>
      <c r="GE26" s="110"/>
      <c r="GG26" t="s">
        <v>31</v>
      </c>
      <c r="GJ26" s="110"/>
    </row>
    <row r="27" spans="2:192" ht="12.75">
      <c r="B27" s="107">
        <v>0</v>
      </c>
      <c r="D27" t="s">
        <v>32</v>
      </c>
      <c r="G27" s="107">
        <v>0</v>
      </c>
      <c r="I27" t="s">
        <v>32</v>
      </c>
      <c r="L27" s="107">
        <v>0</v>
      </c>
      <c r="N27" t="s">
        <v>32</v>
      </c>
      <c r="Q27" s="107">
        <v>0</v>
      </c>
      <c r="S27" t="s">
        <v>32</v>
      </c>
      <c r="V27" s="107">
        <v>0</v>
      </c>
      <c r="X27" t="s">
        <v>32</v>
      </c>
      <c r="AA27" s="107">
        <v>0</v>
      </c>
      <c r="AC27" t="s">
        <v>32</v>
      </c>
      <c r="AF27" s="107">
        <v>0</v>
      </c>
      <c r="AH27" t="s">
        <v>32</v>
      </c>
      <c r="AK27" s="107">
        <v>0</v>
      </c>
      <c r="AM27" t="s">
        <v>32</v>
      </c>
      <c r="AP27" s="107">
        <v>0</v>
      </c>
      <c r="AR27" t="s">
        <v>32</v>
      </c>
      <c r="AU27" s="107">
        <v>0</v>
      </c>
      <c r="AW27" t="s">
        <v>32</v>
      </c>
      <c r="AZ27" s="107">
        <v>0</v>
      </c>
      <c r="BB27" t="s">
        <v>32</v>
      </c>
      <c r="BE27" s="107">
        <v>0</v>
      </c>
      <c r="BG27" t="s">
        <v>32</v>
      </c>
      <c r="BJ27" s="107">
        <v>0</v>
      </c>
      <c r="BL27" t="s">
        <v>32</v>
      </c>
      <c r="BO27" s="107">
        <v>0</v>
      </c>
      <c r="BQ27" t="s">
        <v>32</v>
      </c>
      <c r="BT27" s="107">
        <v>0</v>
      </c>
      <c r="BV27" t="s">
        <v>32</v>
      </c>
      <c r="BY27" s="107">
        <v>0</v>
      </c>
      <c r="CA27" t="s">
        <v>32</v>
      </c>
      <c r="CD27" s="107">
        <v>0</v>
      </c>
      <c r="CF27" t="s">
        <v>32</v>
      </c>
      <c r="CI27" s="107">
        <v>0</v>
      </c>
      <c r="CK27" t="s">
        <v>32</v>
      </c>
      <c r="CN27" s="107">
        <v>0</v>
      </c>
      <c r="CP27" t="s">
        <v>32</v>
      </c>
      <c r="CS27" s="107">
        <v>0</v>
      </c>
      <c r="CU27" t="s">
        <v>32</v>
      </c>
      <c r="CX27" s="107">
        <v>0</v>
      </c>
      <c r="CZ27" t="s">
        <v>32</v>
      </c>
      <c r="DC27" s="107">
        <v>0</v>
      </c>
      <c r="DE27" t="s">
        <v>32</v>
      </c>
      <c r="DH27" s="107">
        <v>0</v>
      </c>
      <c r="DJ27" t="s">
        <v>32</v>
      </c>
      <c r="DM27" s="107">
        <v>0</v>
      </c>
      <c r="DO27" t="s">
        <v>32</v>
      </c>
      <c r="DR27" s="107">
        <v>0</v>
      </c>
      <c r="DT27" t="s">
        <v>32</v>
      </c>
      <c r="DW27" s="107">
        <v>0</v>
      </c>
      <c r="DY27" t="s">
        <v>32</v>
      </c>
      <c r="EB27" s="107">
        <v>0</v>
      </c>
      <c r="ED27" t="s">
        <v>32</v>
      </c>
      <c r="EG27" s="107">
        <v>0</v>
      </c>
      <c r="EI27" t="s">
        <v>32</v>
      </c>
      <c r="EL27" s="107">
        <v>0</v>
      </c>
      <c r="EN27" t="s">
        <v>32</v>
      </c>
      <c r="EQ27" s="107">
        <v>0</v>
      </c>
      <c r="ES27" t="s">
        <v>32</v>
      </c>
      <c r="EV27" s="107">
        <v>0</v>
      </c>
      <c r="EX27" t="s">
        <v>32</v>
      </c>
      <c r="FA27" s="107">
        <v>0</v>
      </c>
      <c r="FC27" t="s">
        <v>32</v>
      </c>
      <c r="FF27" s="107">
        <v>0</v>
      </c>
      <c r="FH27" t="s">
        <v>32</v>
      </c>
      <c r="FK27" s="107">
        <v>0</v>
      </c>
      <c r="FM27" t="s">
        <v>32</v>
      </c>
      <c r="FP27" s="107">
        <v>0</v>
      </c>
      <c r="FR27" t="s">
        <v>32</v>
      </c>
      <c r="FU27" s="107">
        <v>0</v>
      </c>
      <c r="FW27" t="s">
        <v>32</v>
      </c>
      <c r="FZ27" s="107">
        <v>0</v>
      </c>
      <c r="GB27" t="s">
        <v>32</v>
      </c>
      <c r="GE27" s="107">
        <v>0</v>
      </c>
      <c r="GG27" t="s">
        <v>32</v>
      </c>
      <c r="GJ27" s="107">
        <v>0</v>
      </c>
    </row>
    <row r="28" spans="2:192" ht="12.75">
      <c r="B28" s="99">
        <v>0</v>
      </c>
      <c r="D28" t="s">
        <v>196</v>
      </c>
      <c r="G28" s="99">
        <v>0</v>
      </c>
      <c r="I28" t="s">
        <v>196</v>
      </c>
      <c r="L28" s="99">
        <v>0</v>
      </c>
      <c r="N28" t="s">
        <v>196</v>
      </c>
      <c r="Q28" s="99">
        <v>0</v>
      </c>
      <c r="S28" t="s">
        <v>196</v>
      </c>
      <c r="V28" s="99">
        <v>0</v>
      </c>
      <c r="X28" t="s">
        <v>196</v>
      </c>
      <c r="AA28" s="99">
        <v>0</v>
      </c>
      <c r="AC28" t="s">
        <v>196</v>
      </c>
      <c r="AF28" s="99">
        <v>0</v>
      </c>
      <c r="AH28" t="s">
        <v>196</v>
      </c>
      <c r="AK28" s="99">
        <v>0</v>
      </c>
      <c r="AM28" t="s">
        <v>196</v>
      </c>
      <c r="AP28" s="99">
        <v>0</v>
      </c>
      <c r="AR28" t="s">
        <v>196</v>
      </c>
      <c r="AU28" s="99">
        <v>0</v>
      </c>
      <c r="AW28" t="s">
        <v>196</v>
      </c>
      <c r="AZ28" s="99">
        <v>0</v>
      </c>
      <c r="BB28" t="s">
        <v>196</v>
      </c>
      <c r="BE28" s="99">
        <v>0</v>
      </c>
      <c r="BG28" t="s">
        <v>196</v>
      </c>
      <c r="BJ28" s="99">
        <v>0</v>
      </c>
      <c r="BL28" t="s">
        <v>196</v>
      </c>
      <c r="BO28" s="99">
        <v>0</v>
      </c>
      <c r="BQ28" t="s">
        <v>196</v>
      </c>
      <c r="BT28" s="99">
        <v>0</v>
      </c>
      <c r="BV28" t="s">
        <v>196</v>
      </c>
      <c r="BY28" s="99">
        <v>0</v>
      </c>
      <c r="CA28" t="s">
        <v>196</v>
      </c>
      <c r="CD28" s="99">
        <v>0</v>
      </c>
      <c r="CF28" t="s">
        <v>196</v>
      </c>
      <c r="CI28" s="99">
        <v>0</v>
      </c>
      <c r="CK28" t="s">
        <v>196</v>
      </c>
      <c r="CN28" s="99">
        <v>0</v>
      </c>
      <c r="CP28" t="s">
        <v>196</v>
      </c>
      <c r="CS28" s="99">
        <v>0</v>
      </c>
      <c r="CU28" t="s">
        <v>196</v>
      </c>
      <c r="CX28" s="99">
        <v>0</v>
      </c>
      <c r="CZ28" t="s">
        <v>196</v>
      </c>
      <c r="DC28" s="99">
        <v>0</v>
      </c>
      <c r="DE28" t="s">
        <v>196</v>
      </c>
      <c r="DH28" s="99">
        <v>0</v>
      </c>
      <c r="DJ28" t="s">
        <v>196</v>
      </c>
      <c r="DM28" s="99">
        <v>0</v>
      </c>
      <c r="DO28" t="s">
        <v>196</v>
      </c>
      <c r="DR28" s="99">
        <v>0</v>
      </c>
      <c r="DT28" t="s">
        <v>196</v>
      </c>
      <c r="DW28" s="99">
        <v>0</v>
      </c>
      <c r="DY28" t="s">
        <v>196</v>
      </c>
      <c r="EB28" s="99">
        <v>0</v>
      </c>
      <c r="ED28" t="s">
        <v>196</v>
      </c>
      <c r="EG28" s="99">
        <v>0</v>
      </c>
      <c r="EI28" t="s">
        <v>196</v>
      </c>
      <c r="EL28" s="99">
        <v>0</v>
      </c>
      <c r="EN28" t="s">
        <v>196</v>
      </c>
      <c r="EQ28" s="99">
        <v>0</v>
      </c>
      <c r="ES28" t="s">
        <v>196</v>
      </c>
      <c r="EV28" s="99">
        <v>0</v>
      </c>
      <c r="EX28" t="s">
        <v>196</v>
      </c>
      <c r="FA28" s="99">
        <v>0</v>
      </c>
      <c r="FC28" t="s">
        <v>196</v>
      </c>
      <c r="FF28" s="99">
        <v>0</v>
      </c>
      <c r="FH28" t="s">
        <v>196</v>
      </c>
      <c r="FK28" s="99">
        <v>0</v>
      </c>
      <c r="FM28" t="s">
        <v>196</v>
      </c>
      <c r="FP28" s="99">
        <v>0</v>
      </c>
      <c r="FR28" t="s">
        <v>196</v>
      </c>
      <c r="FU28" s="99">
        <v>0</v>
      </c>
      <c r="FW28" t="s">
        <v>196</v>
      </c>
      <c r="FZ28" s="99">
        <v>0</v>
      </c>
      <c r="GB28" t="s">
        <v>196</v>
      </c>
      <c r="GE28" s="99">
        <v>0</v>
      </c>
      <c r="GG28" t="s">
        <v>196</v>
      </c>
      <c r="GJ28" s="99">
        <v>0</v>
      </c>
    </row>
    <row r="29" spans="4:189" ht="12.75">
      <c r="D29" t="s">
        <v>196</v>
      </c>
      <c r="I29" t="s">
        <v>196</v>
      </c>
      <c r="N29" t="s">
        <v>196</v>
      </c>
      <c r="S29" t="s">
        <v>196</v>
      </c>
      <c r="X29" t="s">
        <v>196</v>
      </c>
      <c r="AC29" t="s">
        <v>196</v>
      </c>
      <c r="AH29" t="s">
        <v>196</v>
      </c>
      <c r="AM29" t="s">
        <v>196</v>
      </c>
      <c r="AR29" t="s">
        <v>196</v>
      </c>
      <c r="AW29" t="s">
        <v>196</v>
      </c>
      <c r="BB29" t="s">
        <v>196</v>
      </c>
      <c r="BG29" t="s">
        <v>196</v>
      </c>
      <c r="BL29" t="s">
        <v>196</v>
      </c>
      <c r="BQ29" t="s">
        <v>196</v>
      </c>
      <c r="BV29" t="s">
        <v>196</v>
      </c>
      <c r="CA29" t="s">
        <v>196</v>
      </c>
      <c r="CF29" t="s">
        <v>196</v>
      </c>
      <c r="CK29" t="s">
        <v>196</v>
      </c>
      <c r="CP29" t="s">
        <v>196</v>
      </c>
      <c r="CU29" t="s">
        <v>196</v>
      </c>
      <c r="CZ29" t="s">
        <v>196</v>
      </c>
      <c r="DE29" t="s">
        <v>196</v>
      </c>
      <c r="DJ29" t="s">
        <v>196</v>
      </c>
      <c r="DO29" t="s">
        <v>196</v>
      </c>
      <c r="DT29" t="s">
        <v>196</v>
      </c>
      <c r="DY29" t="s">
        <v>196</v>
      </c>
      <c r="ED29" t="s">
        <v>196</v>
      </c>
      <c r="EI29" t="s">
        <v>196</v>
      </c>
      <c r="EN29" t="s">
        <v>196</v>
      </c>
      <c r="ES29" t="s">
        <v>196</v>
      </c>
      <c r="EX29" t="s">
        <v>196</v>
      </c>
      <c r="FC29" t="s">
        <v>196</v>
      </c>
      <c r="FH29" t="s">
        <v>196</v>
      </c>
      <c r="FM29" t="s">
        <v>196</v>
      </c>
      <c r="FR29" t="s">
        <v>196</v>
      </c>
      <c r="FW29" t="s">
        <v>196</v>
      </c>
      <c r="GB29" t="s">
        <v>196</v>
      </c>
      <c r="GG29" t="s">
        <v>196</v>
      </c>
    </row>
    <row r="31" spans="2:192" ht="12.75">
      <c r="B31" s="111">
        <f>SUM(B32:B34)</f>
        <v>0</v>
      </c>
      <c r="D31" t="s">
        <v>31</v>
      </c>
      <c r="G31" s="111">
        <f>SUM(G32:G34)</f>
        <v>0</v>
      </c>
      <c r="I31" t="s">
        <v>31</v>
      </c>
      <c r="L31" s="111">
        <f>SUM(L32:L34)</f>
        <v>0</v>
      </c>
      <c r="N31" t="s">
        <v>31</v>
      </c>
      <c r="Q31" s="111">
        <f>SUM(Q32:Q34)</f>
        <v>0</v>
      </c>
      <c r="S31" t="s">
        <v>31</v>
      </c>
      <c r="V31" s="111">
        <f>SUM(V32:V34)</f>
        <v>0</v>
      </c>
      <c r="X31" t="s">
        <v>31</v>
      </c>
      <c r="AA31" s="111">
        <f>SUM(AA32:AA34)</f>
        <v>0</v>
      </c>
      <c r="AC31" t="s">
        <v>31</v>
      </c>
      <c r="AF31" s="111">
        <f>SUM(AF32:AF34)</f>
        <v>0</v>
      </c>
      <c r="AH31" t="s">
        <v>31</v>
      </c>
      <c r="AK31" s="111">
        <f>SUM(AK32:AK34)</f>
        <v>0</v>
      </c>
      <c r="AM31" t="s">
        <v>31</v>
      </c>
      <c r="AP31" s="111">
        <f>SUM(AP32:AP34)</f>
        <v>0</v>
      </c>
      <c r="AR31" t="s">
        <v>31</v>
      </c>
      <c r="AU31" s="111">
        <f>SUM(AU32:AU34)</f>
        <v>0</v>
      </c>
      <c r="AW31" t="s">
        <v>31</v>
      </c>
      <c r="AZ31" s="111">
        <f>SUM(AZ32:AZ34)</f>
        <v>0</v>
      </c>
      <c r="BB31" t="s">
        <v>31</v>
      </c>
      <c r="BE31" s="111">
        <f>SUM(BE32:BE34)</f>
        <v>0</v>
      </c>
      <c r="BG31" t="s">
        <v>31</v>
      </c>
      <c r="BJ31" s="111">
        <f>SUM(BJ32:BJ34)</f>
        <v>0</v>
      </c>
      <c r="BL31" t="s">
        <v>31</v>
      </c>
      <c r="BO31" s="111">
        <f>SUM(BO32:BO34)</f>
        <v>0</v>
      </c>
      <c r="BQ31" t="s">
        <v>31</v>
      </c>
      <c r="BT31" s="111">
        <f>SUM(BT32:BT34)</f>
        <v>0</v>
      </c>
      <c r="BV31" t="s">
        <v>31</v>
      </c>
      <c r="BY31" s="111">
        <f>SUM(BY32:BY34)</f>
        <v>0</v>
      </c>
      <c r="CA31" t="s">
        <v>31</v>
      </c>
      <c r="CD31" s="111">
        <f>SUM(CD32:CD34)</f>
        <v>0</v>
      </c>
      <c r="CF31" t="s">
        <v>31</v>
      </c>
      <c r="CI31" s="111">
        <f>SUM(CI32:CI34)</f>
        <v>0</v>
      </c>
      <c r="CK31" t="s">
        <v>31</v>
      </c>
      <c r="CN31" s="111">
        <f>SUM(CN32:CN34)</f>
        <v>0</v>
      </c>
      <c r="CP31" t="s">
        <v>31</v>
      </c>
      <c r="CS31" s="111">
        <f>SUM(CS32:CS34)</f>
        <v>0</v>
      </c>
      <c r="CU31" t="s">
        <v>31</v>
      </c>
      <c r="CX31" s="111">
        <f>SUM(CX32:CX34)</f>
        <v>0</v>
      </c>
      <c r="CZ31" t="s">
        <v>31</v>
      </c>
      <c r="DC31" s="111">
        <f>SUM(DC32:DC34)</f>
        <v>0</v>
      </c>
      <c r="DE31" t="s">
        <v>31</v>
      </c>
      <c r="DH31" s="111">
        <f>SUM(DH32:DH34)</f>
        <v>0</v>
      </c>
      <c r="DJ31" t="s">
        <v>31</v>
      </c>
      <c r="DM31" s="111">
        <f>SUM(DM32:DM34)</f>
        <v>0</v>
      </c>
      <c r="DO31" t="s">
        <v>31</v>
      </c>
      <c r="DR31" s="111">
        <f>SUM(DR32:DR34)</f>
        <v>0</v>
      </c>
      <c r="DT31" t="s">
        <v>31</v>
      </c>
      <c r="DW31" s="111">
        <f>SUM(DW32:DW34)</f>
        <v>0</v>
      </c>
      <c r="DY31" t="s">
        <v>31</v>
      </c>
      <c r="EB31" s="111">
        <f>SUM(EB32:EB34)</f>
        <v>0</v>
      </c>
      <c r="ED31" t="s">
        <v>31</v>
      </c>
      <c r="EG31" s="111">
        <f>SUM(EG32:EG34)</f>
        <v>0</v>
      </c>
      <c r="EI31" t="s">
        <v>31</v>
      </c>
      <c r="EL31" s="111">
        <f>SUM(EL32:EL34)</f>
        <v>0</v>
      </c>
      <c r="EN31" t="s">
        <v>31</v>
      </c>
      <c r="EQ31" s="111">
        <f>SUM(EQ32:EQ34)</f>
        <v>0</v>
      </c>
      <c r="ES31" t="s">
        <v>31</v>
      </c>
      <c r="EV31" s="111">
        <f>SUM(EV32:EV34)</f>
        <v>0</v>
      </c>
      <c r="EX31" t="s">
        <v>31</v>
      </c>
      <c r="FA31" s="111">
        <f>SUM(FA32:FA34)</f>
        <v>0</v>
      </c>
      <c r="FC31" t="s">
        <v>31</v>
      </c>
      <c r="FF31" s="111">
        <f>SUM(FF32:FF34)</f>
        <v>0</v>
      </c>
      <c r="FH31" t="s">
        <v>31</v>
      </c>
      <c r="FK31" s="111">
        <f>SUM(FK32:FK34)</f>
        <v>0</v>
      </c>
      <c r="FM31" t="s">
        <v>31</v>
      </c>
      <c r="FP31" s="111">
        <f>SUM(FP32:FP34)</f>
        <v>0</v>
      </c>
      <c r="FR31" t="s">
        <v>31</v>
      </c>
      <c r="FU31" s="111">
        <f>SUM(FU32:FU34)</f>
        <v>0</v>
      </c>
      <c r="FW31" t="s">
        <v>31</v>
      </c>
      <c r="FZ31" s="111">
        <f>SUM(FZ32:FZ34)</f>
        <v>0</v>
      </c>
      <c r="GB31" t="s">
        <v>31</v>
      </c>
      <c r="GE31" s="111">
        <f>SUM(GE32:GE34)</f>
        <v>0</v>
      </c>
      <c r="GG31" t="s">
        <v>31</v>
      </c>
      <c r="GJ31" s="111">
        <f>SUM(GJ32:GJ34)</f>
        <v>0</v>
      </c>
    </row>
    <row r="32" spans="2:192" ht="12.75">
      <c r="B32" s="105"/>
      <c r="G32" s="105"/>
      <c r="L32" s="105"/>
      <c r="Q32" s="105"/>
      <c r="V32" s="105"/>
      <c r="AA32" s="105"/>
      <c r="AF32" s="105"/>
      <c r="AK32" s="105"/>
      <c r="AP32" s="105"/>
      <c r="AU32" s="105"/>
      <c r="AZ32" s="105"/>
      <c r="BE32" s="105"/>
      <c r="BJ32" s="105"/>
      <c r="BO32" s="105"/>
      <c r="BT32" s="105"/>
      <c r="BY32" s="105"/>
      <c r="CD32" s="105"/>
      <c r="CI32" s="105"/>
      <c r="CN32" s="105"/>
      <c r="CS32" s="105"/>
      <c r="CX32" s="105"/>
      <c r="DC32" s="105"/>
      <c r="DH32" s="105"/>
      <c r="DM32" s="105"/>
      <c r="DR32" s="105"/>
      <c r="DW32" s="105"/>
      <c r="EB32" s="105"/>
      <c r="EG32" s="105"/>
      <c r="EL32" s="105"/>
      <c r="EQ32" s="105"/>
      <c r="EV32" s="105"/>
      <c r="FA32" s="105"/>
      <c r="FF32" s="105"/>
      <c r="FK32" s="105"/>
      <c r="FP32" s="105"/>
      <c r="FU32" s="105"/>
      <c r="FZ32" s="105"/>
      <c r="GE32" s="105"/>
      <c r="GJ32" s="105"/>
    </row>
    <row r="33" spans="2:192" ht="12.75">
      <c r="B33" s="112">
        <v>0</v>
      </c>
      <c r="D33" t="s">
        <v>29</v>
      </c>
      <c r="G33" s="112">
        <v>0</v>
      </c>
      <c r="I33" t="s">
        <v>29</v>
      </c>
      <c r="L33" s="112">
        <v>0</v>
      </c>
      <c r="N33" t="s">
        <v>29</v>
      </c>
      <c r="Q33" s="112">
        <v>0</v>
      </c>
      <c r="S33" t="s">
        <v>29</v>
      </c>
      <c r="V33" s="112">
        <v>0</v>
      </c>
      <c r="X33" t="s">
        <v>29</v>
      </c>
      <c r="AA33" s="112">
        <v>0</v>
      </c>
      <c r="AC33" t="s">
        <v>29</v>
      </c>
      <c r="AF33" s="112">
        <v>0</v>
      </c>
      <c r="AH33" t="s">
        <v>29</v>
      </c>
      <c r="AK33" s="112">
        <v>0</v>
      </c>
      <c r="AM33" t="s">
        <v>29</v>
      </c>
      <c r="AP33" s="112">
        <v>0</v>
      </c>
      <c r="AR33" t="s">
        <v>29</v>
      </c>
      <c r="AU33" s="112">
        <v>0</v>
      </c>
      <c r="AW33" t="s">
        <v>29</v>
      </c>
      <c r="AZ33" s="112">
        <v>0</v>
      </c>
      <c r="BB33" t="s">
        <v>29</v>
      </c>
      <c r="BE33" s="112">
        <v>0</v>
      </c>
      <c r="BG33" t="s">
        <v>29</v>
      </c>
      <c r="BJ33" s="112">
        <v>0</v>
      </c>
      <c r="BL33" t="s">
        <v>29</v>
      </c>
      <c r="BO33" s="112">
        <v>0</v>
      </c>
      <c r="BQ33" t="s">
        <v>29</v>
      </c>
      <c r="BT33" s="112">
        <v>0</v>
      </c>
      <c r="BV33" t="s">
        <v>29</v>
      </c>
      <c r="BY33" s="112">
        <v>0</v>
      </c>
      <c r="CA33" t="s">
        <v>29</v>
      </c>
      <c r="CD33" s="112">
        <v>0</v>
      </c>
      <c r="CF33" t="s">
        <v>29</v>
      </c>
      <c r="CI33" s="112">
        <v>0</v>
      </c>
      <c r="CK33" t="s">
        <v>29</v>
      </c>
      <c r="CN33" s="112">
        <v>0</v>
      </c>
      <c r="CP33" t="s">
        <v>29</v>
      </c>
      <c r="CS33" s="112">
        <v>0</v>
      </c>
      <c r="CU33" t="s">
        <v>29</v>
      </c>
      <c r="CX33" s="112">
        <v>0</v>
      </c>
      <c r="CZ33" t="s">
        <v>29</v>
      </c>
      <c r="DC33" s="112">
        <v>0</v>
      </c>
      <c r="DE33" t="s">
        <v>29</v>
      </c>
      <c r="DH33" s="112">
        <v>0</v>
      </c>
      <c r="DJ33" t="s">
        <v>29</v>
      </c>
      <c r="DM33" s="112">
        <v>0</v>
      </c>
      <c r="DO33" t="s">
        <v>29</v>
      </c>
      <c r="DR33" s="112">
        <v>0</v>
      </c>
      <c r="DT33" t="s">
        <v>29</v>
      </c>
      <c r="DW33" s="112">
        <v>0</v>
      </c>
      <c r="DY33" t="s">
        <v>29</v>
      </c>
      <c r="EB33" s="112">
        <v>0</v>
      </c>
      <c r="ED33" t="s">
        <v>29</v>
      </c>
      <c r="EG33" s="112">
        <v>0</v>
      </c>
      <c r="EI33" t="s">
        <v>29</v>
      </c>
      <c r="EL33" s="112">
        <v>0</v>
      </c>
      <c r="EN33" t="s">
        <v>29</v>
      </c>
      <c r="EQ33" s="112">
        <v>0</v>
      </c>
      <c r="ES33" t="s">
        <v>29</v>
      </c>
      <c r="EV33" s="112">
        <v>0</v>
      </c>
      <c r="EX33" t="s">
        <v>29</v>
      </c>
      <c r="FA33" s="112">
        <v>0</v>
      </c>
      <c r="FC33" t="s">
        <v>29</v>
      </c>
      <c r="FF33" s="112">
        <v>0</v>
      </c>
      <c r="FH33" t="s">
        <v>29</v>
      </c>
      <c r="FK33" s="112">
        <v>0</v>
      </c>
      <c r="FM33" t="s">
        <v>29</v>
      </c>
      <c r="FP33" s="112">
        <v>0</v>
      </c>
      <c r="FR33" t="s">
        <v>29</v>
      </c>
      <c r="FU33" s="112">
        <v>0</v>
      </c>
      <c r="FW33" t="s">
        <v>29</v>
      </c>
      <c r="FZ33" s="112">
        <v>0</v>
      </c>
      <c r="GB33" t="s">
        <v>29</v>
      </c>
      <c r="GE33" s="112">
        <v>0</v>
      </c>
      <c r="GG33" t="s">
        <v>29</v>
      </c>
      <c r="GJ33" s="112">
        <v>0</v>
      </c>
    </row>
    <row r="34" spans="2:192" ht="12.75">
      <c r="B34" s="107">
        <v>0</v>
      </c>
      <c r="D34" t="s">
        <v>30</v>
      </c>
      <c r="G34" s="107">
        <v>0</v>
      </c>
      <c r="I34" t="s">
        <v>30</v>
      </c>
      <c r="L34" s="107">
        <v>0</v>
      </c>
      <c r="N34" t="s">
        <v>30</v>
      </c>
      <c r="Q34" s="107">
        <v>0</v>
      </c>
      <c r="S34" t="s">
        <v>30</v>
      </c>
      <c r="V34" s="107">
        <v>0</v>
      </c>
      <c r="X34" t="s">
        <v>30</v>
      </c>
      <c r="AA34" s="107">
        <v>0</v>
      </c>
      <c r="AC34" t="s">
        <v>30</v>
      </c>
      <c r="AF34" s="107">
        <v>0</v>
      </c>
      <c r="AH34" t="s">
        <v>30</v>
      </c>
      <c r="AK34" s="107">
        <v>0</v>
      </c>
      <c r="AM34" t="s">
        <v>30</v>
      </c>
      <c r="AP34" s="107">
        <v>0</v>
      </c>
      <c r="AR34" t="s">
        <v>30</v>
      </c>
      <c r="AU34" s="107">
        <v>0</v>
      </c>
      <c r="AW34" t="s">
        <v>30</v>
      </c>
      <c r="AZ34" s="107">
        <v>0</v>
      </c>
      <c r="BB34" t="s">
        <v>30</v>
      </c>
      <c r="BE34" s="107">
        <v>0</v>
      </c>
      <c r="BG34" t="s">
        <v>30</v>
      </c>
      <c r="BJ34" s="107">
        <v>0</v>
      </c>
      <c r="BL34" t="s">
        <v>30</v>
      </c>
      <c r="BO34" s="107">
        <v>0</v>
      </c>
      <c r="BQ34" t="s">
        <v>30</v>
      </c>
      <c r="BT34" s="107">
        <v>0</v>
      </c>
      <c r="BV34" t="s">
        <v>30</v>
      </c>
      <c r="BY34" s="107">
        <v>0</v>
      </c>
      <c r="CA34" t="s">
        <v>30</v>
      </c>
      <c r="CD34" s="107">
        <v>0</v>
      </c>
      <c r="CF34" t="s">
        <v>30</v>
      </c>
      <c r="CI34" s="107">
        <v>0</v>
      </c>
      <c r="CK34" t="s">
        <v>30</v>
      </c>
      <c r="CN34" s="107">
        <v>0</v>
      </c>
      <c r="CP34" t="s">
        <v>30</v>
      </c>
      <c r="CS34" s="107">
        <v>0</v>
      </c>
      <c r="CU34" t="s">
        <v>30</v>
      </c>
      <c r="CX34" s="107">
        <v>0</v>
      </c>
      <c r="CZ34" t="s">
        <v>30</v>
      </c>
      <c r="DC34" s="107">
        <v>0</v>
      </c>
      <c r="DE34" t="s">
        <v>30</v>
      </c>
      <c r="DH34" s="107">
        <v>0</v>
      </c>
      <c r="DJ34" t="s">
        <v>30</v>
      </c>
      <c r="DM34" s="107">
        <v>0</v>
      </c>
      <c r="DO34" t="s">
        <v>30</v>
      </c>
      <c r="DR34" s="107">
        <v>0</v>
      </c>
      <c r="DT34" t="s">
        <v>30</v>
      </c>
      <c r="DW34" s="107">
        <v>0</v>
      </c>
      <c r="DY34" t="s">
        <v>30</v>
      </c>
      <c r="EB34" s="107">
        <v>0</v>
      </c>
      <c r="ED34" t="s">
        <v>30</v>
      </c>
      <c r="EG34" s="107">
        <v>0</v>
      </c>
      <c r="EI34" t="s">
        <v>30</v>
      </c>
      <c r="EL34" s="107">
        <v>0</v>
      </c>
      <c r="EN34" t="s">
        <v>30</v>
      </c>
      <c r="EQ34" s="107">
        <v>0</v>
      </c>
      <c r="ES34" t="s">
        <v>30</v>
      </c>
      <c r="EV34" s="107">
        <v>0</v>
      </c>
      <c r="EX34" t="s">
        <v>30</v>
      </c>
      <c r="FA34" s="107">
        <v>0</v>
      </c>
      <c r="FC34" t="s">
        <v>30</v>
      </c>
      <c r="FF34" s="107">
        <v>0</v>
      </c>
      <c r="FH34" t="s">
        <v>30</v>
      </c>
      <c r="FK34" s="107">
        <v>0</v>
      </c>
      <c r="FM34" t="s">
        <v>30</v>
      </c>
      <c r="FP34" s="107">
        <v>0</v>
      </c>
      <c r="FR34" t="s">
        <v>30</v>
      </c>
      <c r="FU34" s="107">
        <v>0</v>
      </c>
      <c r="FW34" t="s">
        <v>30</v>
      </c>
      <c r="FZ34" s="107">
        <v>0</v>
      </c>
      <c r="GB34" t="s">
        <v>30</v>
      </c>
      <c r="GE34" s="107">
        <v>0</v>
      </c>
      <c r="GG34" t="s">
        <v>30</v>
      </c>
      <c r="GJ34" s="107">
        <v>0</v>
      </c>
    </row>
    <row r="35" ht="13.5" thickBot="1"/>
    <row r="36" spans="2:192" ht="13.5" thickBot="1">
      <c r="B36" s="113">
        <f>SUM(B21,B23,B25)</f>
        <v>0</v>
      </c>
      <c r="G36" s="113">
        <f>SUM(G21,G23,G25)</f>
        <v>0</v>
      </c>
      <c r="L36" s="113">
        <f>SUM(L21,L23,L25)</f>
        <v>0</v>
      </c>
      <c r="Q36" s="113">
        <f>SUM(Q21,Q23,Q25)</f>
        <v>0</v>
      </c>
      <c r="V36" s="113">
        <f>SUM(V21,V23,V25)</f>
        <v>0</v>
      </c>
      <c r="AA36" s="113">
        <f>SUM(AA21,AA23,AA25)</f>
        <v>0</v>
      </c>
      <c r="AF36" s="113">
        <f>SUM(AF21,AF23,AF25)</f>
        <v>0</v>
      </c>
      <c r="AK36" s="113">
        <f>SUM(AK21,AK23,AK25)</f>
        <v>0</v>
      </c>
      <c r="AP36" s="113">
        <f>SUM(AP21,AP23,AP25)</f>
        <v>0</v>
      </c>
      <c r="AU36" s="113">
        <f>SUM(AU21,AU23,AU25)</f>
        <v>0</v>
      </c>
      <c r="AZ36" s="113">
        <f>SUM(AZ21,AZ23,AZ25)</f>
        <v>0</v>
      </c>
      <c r="BE36" s="113">
        <f>SUM(BE21,BE23,BE25)</f>
        <v>0</v>
      </c>
      <c r="BJ36" s="113">
        <f>SUM(BJ21,BJ23,BJ25)</f>
        <v>0</v>
      </c>
      <c r="BO36" s="113">
        <f>SUM(BO21,BO23,BO25)</f>
        <v>0</v>
      </c>
      <c r="BT36" s="113">
        <f>SUM(BT21,BT23,BT25)</f>
        <v>0</v>
      </c>
      <c r="BY36" s="113">
        <f>SUM(BY21,BY23,BY25)</f>
        <v>0</v>
      </c>
      <c r="CD36" s="113">
        <f>SUM(CD21,CD23,CD25)</f>
        <v>0</v>
      </c>
      <c r="CI36" s="113">
        <f>SUM(CI21,CI23,CI25)</f>
        <v>0</v>
      </c>
      <c r="CN36" s="113">
        <f>SUM(CN21,CN23,CN25)</f>
        <v>0</v>
      </c>
      <c r="CS36" s="113">
        <f>SUM(CS21,CS23,CS25)</f>
        <v>0</v>
      </c>
      <c r="CX36" s="113">
        <f>SUM(CX21,CX23,CX25)</f>
        <v>0</v>
      </c>
      <c r="DC36" s="113">
        <f>SUM(DC21,DC23,DC25)</f>
        <v>0</v>
      </c>
      <c r="DH36" s="113">
        <f>SUM(DH21,DH23,DH25)</f>
        <v>0</v>
      </c>
      <c r="DM36" s="113">
        <f>SUM(DM21,DM23,DM25)</f>
        <v>0</v>
      </c>
      <c r="DR36" s="113">
        <f>SUM(DR21,DR23,DR25)</f>
        <v>0</v>
      </c>
      <c r="DW36" s="113">
        <f>SUM(DW21,DW23,DW25)</f>
        <v>0</v>
      </c>
      <c r="EB36" s="113">
        <f>SUM(EB21,EB23,EB25)</f>
        <v>0</v>
      </c>
      <c r="EG36" s="113">
        <f>SUM(EG21,EG23,EG25)</f>
        <v>0</v>
      </c>
      <c r="EL36" s="113">
        <f>SUM(EL21,EL23,EL25)</f>
        <v>0</v>
      </c>
      <c r="EQ36" s="113">
        <f>SUM(EQ21,EQ23,EQ25)</f>
        <v>0</v>
      </c>
      <c r="EV36" s="113">
        <f>SUM(EV21,EV23,EV25)</f>
        <v>0</v>
      </c>
      <c r="FA36" s="113">
        <f>SUM(FA21,FA23,FA25)</f>
        <v>0</v>
      </c>
      <c r="FF36" s="113">
        <f>SUM(FF21,FF23,FF25)</f>
        <v>0</v>
      </c>
      <c r="FK36" s="113">
        <f>SUM(FK21,FK23,FK25)</f>
        <v>0</v>
      </c>
      <c r="FP36" s="113">
        <f>SUM(FP21,FP23,FP25)</f>
        <v>0</v>
      </c>
      <c r="FU36" s="113">
        <f>SUM(FU21,FU23,FU25)</f>
        <v>0</v>
      </c>
      <c r="FZ36" s="113">
        <f>SUM(FZ21,FZ23,FZ25)</f>
        <v>0</v>
      </c>
      <c r="GE36" s="113">
        <f>SUM(GE21,GE23,GE25)</f>
        <v>0</v>
      </c>
      <c r="GJ36" s="113">
        <f>SUM(GJ21,GJ23,GJ25)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36"/>
  <sheetViews>
    <sheetView zoomScale="90" zoomScaleNormal="90" zoomScalePageLayoutView="0" workbookViewId="0" topLeftCell="A1">
      <pane xSplit="1" topLeftCell="IJ1" activePane="topRight" state="frozen"/>
      <selection pane="topLeft" activeCell="A1" sqref="A1"/>
      <selection pane="topRight" activeCell="IN1" sqref="IN1:IR16384"/>
    </sheetView>
  </sheetViews>
  <sheetFormatPr defaultColWidth="9.140625" defaultRowHeight="12.75"/>
  <cols>
    <col min="1" max="1" width="33.7109375" style="0" customWidth="1"/>
    <col min="2" max="2" width="20.421875" style="99" bestFit="1" customWidth="1"/>
    <col min="3" max="3" width="20.00390625" style="99" bestFit="1" customWidth="1"/>
    <col min="4" max="4" width="11.8515625" style="0" customWidth="1"/>
    <col min="5" max="5" width="17.140625" style="99" customWidth="1"/>
    <col min="6" max="6" width="20.57421875" style="99" bestFit="1" customWidth="1"/>
    <col min="7" max="7" width="20.421875" style="99" bestFit="1" customWidth="1"/>
    <col min="8" max="8" width="20.00390625" style="99" bestFit="1" customWidth="1"/>
    <col min="9" max="9" width="11.8515625" style="0" customWidth="1"/>
    <col min="10" max="10" width="17.140625" style="99" customWidth="1"/>
    <col min="11" max="11" width="20.57421875" style="99" bestFit="1" customWidth="1"/>
    <col min="12" max="12" width="20.421875" style="99" bestFit="1" customWidth="1"/>
    <col min="13" max="13" width="20.00390625" style="99" bestFit="1" customWidth="1"/>
    <col min="14" max="14" width="11.8515625" style="0" customWidth="1"/>
    <col min="15" max="15" width="17.140625" style="99" customWidth="1"/>
    <col min="16" max="16" width="20.57421875" style="99" bestFit="1" customWidth="1"/>
    <col min="17" max="17" width="20.421875" style="99" bestFit="1" customWidth="1"/>
    <col min="18" max="18" width="20.00390625" style="99" bestFit="1" customWidth="1"/>
    <col min="19" max="19" width="11.8515625" style="0" customWidth="1"/>
    <col min="20" max="20" width="17.140625" style="99" customWidth="1"/>
    <col min="21" max="21" width="20.57421875" style="99" bestFit="1" customWidth="1"/>
    <col min="22" max="22" width="20.421875" style="99" bestFit="1" customWidth="1"/>
    <col min="23" max="23" width="20.00390625" style="99" bestFit="1" customWidth="1"/>
    <col min="24" max="24" width="11.8515625" style="0" customWidth="1"/>
    <col min="25" max="25" width="17.140625" style="99" customWidth="1"/>
    <col min="26" max="26" width="20.57421875" style="99" bestFit="1" customWidth="1"/>
    <col min="27" max="27" width="20.421875" style="99" bestFit="1" customWidth="1"/>
    <col min="28" max="28" width="20.00390625" style="99" bestFit="1" customWidth="1"/>
    <col min="29" max="29" width="11.8515625" style="0" customWidth="1"/>
    <col min="30" max="30" width="17.140625" style="99" customWidth="1"/>
    <col min="31" max="31" width="20.57421875" style="99" bestFit="1" customWidth="1"/>
    <col min="32" max="32" width="20.421875" style="99" bestFit="1" customWidth="1"/>
    <col min="33" max="33" width="20.00390625" style="99" bestFit="1" customWidth="1"/>
    <col min="34" max="34" width="11.8515625" style="0" customWidth="1"/>
    <col min="35" max="35" width="17.140625" style="99" customWidth="1"/>
    <col min="36" max="36" width="20.57421875" style="99" bestFit="1" customWidth="1"/>
    <col min="37" max="37" width="20.421875" style="99" bestFit="1" customWidth="1"/>
    <col min="38" max="38" width="20.00390625" style="99" bestFit="1" customWidth="1"/>
    <col min="39" max="39" width="11.8515625" style="0" customWidth="1"/>
    <col min="40" max="40" width="17.140625" style="99" customWidth="1"/>
    <col min="41" max="41" width="20.57421875" style="99" bestFit="1" customWidth="1"/>
    <col min="42" max="42" width="20.421875" style="99" bestFit="1" customWidth="1"/>
    <col min="43" max="43" width="20.00390625" style="99" bestFit="1" customWidth="1"/>
    <col min="44" max="44" width="11.8515625" style="0" customWidth="1"/>
    <col min="45" max="45" width="17.140625" style="99" customWidth="1"/>
    <col min="46" max="46" width="20.57421875" style="99" bestFit="1" customWidth="1"/>
    <col min="47" max="47" width="20.421875" style="99" bestFit="1" customWidth="1"/>
    <col min="48" max="48" width="20.00390625" style="99" bestFit="1" customWidth="1"/>
    <col min="49" max="49" width="11.8515625" style="0" customWidth="1"/>
    <col min="50" max="50" width="17.140625" style="99" customWidth="1"/>
    <col min="51" max="51" width="20.57421875" style="99" bestFit="1" customWidth="1"/>
    <col min="52" max="52" width="20.421875" style="99" bestFit="1" customWidth="1"/>
    <col min="53" max="53" width="20.00390625" style="99" bestFit="1" customWidth="1"/>
    <col min="54" max="54" width="11.8515625" style="0" customWidth="1"/>
    <col min="55" max="55" width="17.140625" style="99" customWidth="1"/>
    <col min="56" max="56" width="20.57421875" style="99" bestFit="1" customWidth="1"/>
    <col min="57" max="57" width="20.421875" style="99" bestFit="1" customWidth="1"/>
    <col min="58" max="58" width="20.00390625" style="99" bestFit="1" customWidth="1"/>
    <col min="59" max="59" width="11.8515625" style="0" customWidth="1"/>
    <col min="60" max="60" width="17.140625" style="99" customWidth="1"/>
    <col min="61" max="61" width="20.57421875" style="99" bestFit="1" customWidth="1"/>
    <col min="62" max="62" width="20.421875" style="99" bestFit="1" customWidth="1"/>
    <col min="63" max="63" width="20.00390625" style="99" bestFit="1" customWidth="1"/>
    <col min="64" max="64" width="11.8515625" style="0" customWidth="1"/>
    <col min="65" max="65" width="17.140625" style="99" customWidth="1"/>
    <col min="66" max="66" width="20.57421875" style="99" bestFit="1" customWidth="1"/>
    <col min="67" max="67" width="20.421875" style="99" bestFit="1" customWidth="1"/>
    <col min="68" max="68" width="20.00390625" style="99" bestFit="1" customWidth="1"/>
    <col min="69" max="69" width="11.8515625" style="0" customWidth="1"/>
    <col min="70" max="70" width="17.140625" style="99" customWidth="1"/>
    <col min="71" max="71" width="20.57421875" style="99" bestFit="1" customWidth="1"/>
    <col min="72" max="72" width="20.421875" style="99" bestFit="1" customWidth="1"/>
    <col min="73" max="73" width="20.00390625" style="99" bestFit="1" customWidth="1"/>
    <col min="74" max="74" width="11.8515625" style="0" customWidth="1"/>
    <col min="75" max="75" width="17.140625" style="99" customWidth="1"/>
    <col min="76" max="76" width="20.57421875" style="99" bestFit="1" customWidth="1"/>
    <col min="77" max="77" width="20.421875" style="99" bestFit="1" customWidth="1"/>
    <col min="78" max="78" width="20.00390625" style="99" bestFit="1" customWidth="1"/>
    <col min="79" max="79" width="11.8515625" style="0" customWidth="1"/>
    <col min="80" max="80" width="17.140625" style="99" customWidth="1"/>
    <col min="81" max="81" width="20.57421875" style="99" bestFit="1" customWidth="1"/>
    <col min="82" max="82" width="20.421875" style="99" bestFit="1" customWidth="1"/>
    <col min="83" max="83" width="20.00390625" style="99" bestFit="1" customWidth="1"/>
    <col min="84" max="84" width="11.8515625" style="0" customWidth="1"/>
    <col min="85" max="85" width="17.140625" style="99" customWidth="1"/>
    <col min="86" max="86" width="20.57421875" style="99" bestFit="1" customWidth="1"/>
    <col min="87" max="87" width="20.421875" style="99" bestFit="1" customWidth="1"/>
    <col min="88" max="88" width="20.00390625" style="99" bestFit="1" customWidth="1"/>
    <col min="89" max="89" width="11.8515625" style="0" customWidth="1"/>
    <col min="90" max="90" width="17.140625" style="99" customWidth="1"/>
    <col min="91" max="91" width="20.57421875" style="99" bestFit="1" customWidth="1"/>
    <col min="92" max="92" width="20.421875" style="99" bestFit="1" customWidth="1"/>
    <col min="93" max="93" width="20.00390625" style="99" bestFit="1" customWidth="1"/>
    <col min="94" max="94" width="11.8515625" style="0" customWidth="1"/>
    <col min="95" max="95" width="17.140625" style="99" customWidth="1"/>
    <col min="96" max="96" width="20.57421875" style="99" bestFit="1" customWidth="1"/>
    <col min="97" max="97" width="20.421875" style="99" bestFit="1" customWidth="1"/>
    <col min="98" max="98" width="20.00390625" style="99" bestFit="1" customWidth="1"/>
    <col min="99" max="99" width="11.8515625" style="0" customWidth="1"/>
    <col min="100" max="100" width="17.140625" style="99" customWidth="1"/>
    <col min="101" max="101" width="20.57421875" style="99" bestFit="1" customWidth="1"/>
    <col min="102" max="102" width="20.421875" style="99" bestFit="1" customWidth="1"/>
    <col min="103" max="103" width="20.00390625" style="99" bestFit="1" customWidth="1"/>
    <col min="104" max="104" width="11.8515625" style="0" customWidth="1"/>
    <col min="105" max="105" width="17.140625" style="99" customWidth="1"/>
    <col min="106" max="106" width="20.57421875" style="99" bestFit="1" customWidth="1"/>
    <col min="107" max="107" width="20.421875" style="99" bestFit="1" customWidth="1"/>
    <col min="108" max="108" width="20.00390625" style="99" bestFit="1" customWidth="1"/>
    <col min="109" max="109" width="11.8515625" style="0" customWidth="1"/>
    <col min="110" max="110" width="17.140625" style="99" customWidth="1"/>
    <col min="111" max="111" width="20.57421875" style="99" bestFit="1" customWidth="1"/>
    <col min="112" max="112" width="20.421875" style="99" bestFit="1" customWidth="1"/>
    <col min="113" max="113" width="20.00390625" style="99" bestFit="1" customWidth="1"/>
    <col min="114" max="114" width="11.8515625" style="0" customWidth="1"/>
    <col min="115" max="115" width="17.140625" style="99" customWidth="1"/>
    <col min="116" max="116" width="20.57421875" style="99" bestFit="1" customWidth="1"/>
    <col min="117" max="117" width="20.421875" style="99" bestFit="1" customWidth="1"/>
    <col min="118" max="118" width="20.00390625" style="99" bestFit="1" customWidth="1"/>
    <col min="119" max="119" width="11.8515625" style="0" customWidth="1"/>
    <col min="120" max="120" width="17.140625" style="99" customWidth="1"/>
    <col min="121" max="121" width="20.57421875" style="99" bestFit="1" customWidth="1"/>
    <col min="122" max="122" width="20.421875" style="99" bestFit="1" customWidth="1"/>
    <col min="123" max="123" width="20.00390625" style="99" bestFit="1" customWidth="1"/>
    <col min="124" max="124" width="11.8515625" style="0" customWidth="1"/>
    <col min="125" max="125" width="17.140625" style="99" customWidth="1"/>
    <col min="126" max="126" width="20.57421875" style="99" bestFit="1" customWidth="1"/>
    <col min="127" max="127" width="20.421875" style="99" bestFit="1" customWidth="1"/>
    <col min="128" max="128" width="20.00390625" style="99" bestFit="1" customWidth="1"/>
    <col min="129" max="129" width="11.8515625" style="0" customWidth="1"/>
    <col min="130" max="130" width="17.140625" style="99" customWidth="1"/>
    <col min="131" max="131" width="20.57421875" style="99" bestFit="1" customWidth="1"/>
    <col min="132" max="132" width="20.421875" style="99" bestFit="1" customWidth="1"/>
    <col min="133" max="133" width="20.00390625" style="99" bestFit="1" customWidth="1"/>
    <col min="134" max="134" width="11.8515625" style="0" customWidth="1"/>
    <col min="135" max="135" width="17.140625" style="99" customWidth="1"/>
    <col min="136" max="136" width="20.57421875" style="99" bestFit="1" customWidth="1"/>
    <col min="137" max="137" width="20.421875" style="99" bestFit="1" customWidth="1"/>
    <col min="138" max="138" width="20.00390625" style="99" bestFit="1" customWidth="1"/>
    <col min="139" max="139" width="11.8515625" style="0" customWidth="1"/>
    <col min="140" max="140" width="17.140625" style="99" customWidth="1"/>
    <col min="141" max="141" width="20.57421875" style="99" bestFit="1" customWidth="1"/>
    <col min="142" max="142" width="20.421875" style="99" bestFit="1" customWidth="1"/>
    <col min="143" max="143" width="20.00390625" style="99" bestFit="1" customWidth="1"/>
    <col min="144" max="144" width="11.8515625" style="0" customWidth="1"/>
    <col min="145" max="145" width="17.140625" style="99" customWidth="1"/>
    <col min="146" max="146" width="20.57421875" style="99" bestFit="1" customWidth="1"/>
    <col min="147" max="147" width="20.421875" style="99" bestFit="1" customWidth="1"/>
    <col min="148" max="148" width="20.00390625" style="99" bestFit="1" customWidth="1"/>
    <col min="149" max="149" width="11.8515625" style="0" customWidth="1"/>
    <col min="150" max="150" width="17.140625" style="99" customWidth="1"/>
    <col min="151" max="151" width="20.57421875" style="99" bestFit="1" customWidth="1"/>
    <col min="152" max="152" width="20.421875" style="99" bestFit="1" customWidth="1"/>
    <col min="153" max="153" width="20.00390625" style="99" bestFit="1" customWidth="1"/>
    <col min="154" max="154" width="11.8515625" style="0" customWidth="1"/>
    <col min="155" max="155" width="17.140625" style="99" customWidth="1"/>
    <col min="156" max="156" width="20.57421875" style="99" bestFit="1" customWidth="1"/>
    <col min="157" max="157" width="20.421875" style="99" bestFit="1" customWidth="1"/>
    <col min="158" max="158" width="20.00390625" style="99" bestFit="1" customWidth="1"/>
    <col min="159" max="159" width="11.8515625" style="0" customWidth="1"/>
    <col min="160" max="160" width="17.140625" style="99" customWidth="1"/>
    <col min="161" max="161" width="20.57421875" style="99" bestFit="1" customWidth="1"/>
    <col min="162" max="162" width="20.421875" style="99" bestFit="1" customWidth="1"/>
    <col min="163" max="163" width="20.00390625" style="99" bestFit="1" customWidth="1"/>
    <col min="164" max="164" width="11.8515625" style="0" customWidth="1"/>
    <col min="165" max="165" width="17.140625" style="99" customWidth="1"/>
    <col min="166" max="166" width="20.57421875" style="99" bestFit="1" customWidth="1"/>
    <col min="167" max="167" width="20.421875" style="99" bestFit="1" customWidth="1"/>
    <col min="168" max="168" width="20.00390625" style="99" bestFit="1" customWidth="1"/>
    <col min="169" max="169" width="11.8515625" style="0" customWidth="1"/>
    <col min="170" max="170" width="17.140625" style="99" customWidth="1"/>
    <col min="171" max="171" width="20.57421875" style="99" bestFit="1" customWidth="1"/>
    <col min="172" max="172" width="20.421875" style="99" bestFit="1" customWidth="1"/>
    <col min="173" max="173" width="20.00390625" style="99" bestFit="1" customWidth="1"/>
    <col min="174" max="174" width="11.8515625" style="0" customWidth="1"/>
    <col min="175" max="175" width="17.140625" style="99" customWidth="1"/>
    <col min="176" max="176" width="20.57421875" style="99" bestFit="1" customWidth="1"/>
    <col min="177" max="177" width="20.421875" style="99" bestFit="1" customWidth="1"/>
    <col min="178" max="178" width="20.00390625" style="99" bestFit="1" customWidth="1"/>
    <col min="179" max="179" width="11.8515625" style="0" customWidth="1"/>
    <col min="180" max="180" width="17.140625" style="99" customWidth="1"/>
    <col min="181" max="181" width="20.57421875" style="99" bestFit="1" customWidth="1"/>
    <col min="182" max="182" width="20.421875" style="99" bestFit="1" customWidth="1"/>
    <col min="183" max="183" width="20.00390625" style="99" bestFit="1" customWidth="1"/>
    <col min="184" max="184" width="11.8515625" style="0" customWidth="1"/>
    <col min="185" max="185" width="17.140625" style="99" customWidth="1"/>
    <col min="186" max="186" width="20.57421875" style="99" bestFit="1" customWidth="1"/>
    <col min="187" max="187" width="20.421875" style="99" bestFit="1" customWidth="1"/>
    <col min="188" max="188" width="20.00390625" style="99" bestFit="1" customWidth="1"/>
    <col min="189" max="189" width="11.8515625" style="0" customWidth="1"/>
    <col min="190" max="190" width="17.140625" style="99" customWidth="1"/>
    <col min="191" max="191" width="20.57421875" style="99" bestFit="1" customWidth="1"/>
    <col min="192" max="192" width="20.421875" style="99" bestFit="1" customWidth="1"/>
    <col min="193" max="193" width="20.00390625" style="99" bestFit="1" customWidth="1"/>
    <col min="194" max="194" width="11.8515625" style="0" customWidth="1"/>
    <col min="195" max="195" width="17.140625" style="99" customWidth="1"/>
    <col min="196" max="196" width="20.57421875" style="99" bestFit="1" customWidth="1"/>
    <col min="197" max="197" width="20.421875" style="99" bestFit="1" customWidth="1"/>
    <col min="198" max="198" width="20.00390625" style="99" bestFit="1" customWidth="1"/>
    <col min="199" max="199" width="11.8515625" style="0" customWidth="1"/>
    <col min="200" max="200" width="17.140625" style="99" customWidth="1"/>
    <col min="201" max="201" width="20.57421875" style="99" bestFit="1" customWidth="1"/>
    <col min="202" max="202" width="20.421875" style="99" bestFit="1" customWidth="1"/>
    <col min="203" max="203" width="20.00390625" style="99" bestFit="1" customWidth="1"/>
    <col min="204" max="204" width="11.8515625" style="0" customWidth="1"/>
    <col min="205" max="205" width="17.140625" style="99" customWidth="1"/>
    <col min="206" max="206" width="20.57421875" style="99" bestFit="1" customWidth="1"/>
    <col min="207" max="207" width="20.421875" style="99" bestFit="1" customWidth="1"/>
    <col min="208" max="208" width="20.00390625" style="99" bestFit="1" customWidth="1"/>
    <col min="209" max="209" width="11.8515625" style="0" customWidth="1"/>
    <col min="210" max="210" width="17.140625" style="99" customWidth="1"/>
    <col min="211" max="211" width="20.57421875" style="99" bestFit="1" customWidth="1"/>
    <col min="212" max="212" width="20.421875" style="99" bestFit="1" customWidth="1"/>
    <col min="213" max="213" width="20.00390625" style="99" bestFit="1" customWidth="1"/>
    <col min="214" max="214" width="11.8515625" style="0" customWidth="1"/>
    <col min="215" max="215" width="17.140625" style="99" customWidth="1"/>
    <col min="216" max="216" width="20.57421875" style="99" bestFit="1" customWidth="1"/>
    <col min="217" max="217" width="20.421875" style="99" bestFit="1" customWidth="1"/>
    <col min="218" max="218" width="20.00390625" style="99" bestFit="1" customWidth="1"/>
    <col min="219" max="219" width="11.8515625" style="0" customWidth="1"/>
    <col min="220" max="220" width="17.140625" style="99" customWidth="1"/>
    <col min="221" max="221" width="20.57421875" style="99" bestFit="1" customWidth="1"/>
    <col min="222" max="222" width="20.421875" style="99" bestFit="1" customWidth="1"/>
    <col min="223" max="223" width="20.00390625" style="99" bestFit="1" customWidth="1"/>
    <col min="224" max="224" width="11.8515625" style="0" customWidth="1"/>
    <col min="225" max="225" width="17.140625" style="99" customWidth="1"/>
    <col min="226" max="226" width="20.57421875" style="99" bestFit="1" customWidth="1"/>
    <col min="227" max="227" width="20.421875" style="99" bestFit="1" customWidth="1"/>
    <col min="228" max="228" width="20.00390625" style="99" bestFit="1" customWidth="1"/>
    <col min="229" max="229" width="11.8515625" style="0" customWidth="1"/>
    <col min="230" max="230" width="17.140625" style="99" customWidth="1"/>
    <col min="231" max="231" width="20.57421875" style="99" bestFit="1" customWidth="1"/>
    <col min="232" max="232" width="20.421875" style="99" bestFit="1" customWidth="1"/>
    <col min="233" max="233" width="20.00390625" style="99" bestFit="1" customWidth="1"/>
    <col min="234" max="234" width="11.8515625" style="0" customWidth="1"/>
    <col min="235" max="235" width="17.140625" style="99" customWidth="1"/>
    <col min="236" max="236" width="20.57421875" style="99" bestFit="1" customWidth="1"/>
    <col min="237" max="237" width="20.421875" style="99" bestFit="1" customWidth="1"/>
    <col min="238" max="238" width="20.00390625" style="99" bestFit="1" customWidth="1"/>
    <col min="239" max="239" width="11.8515625" style="0" customWidth="1"/>
    <col min="240" max="240" width="17.140625" style="99" customWidth="1"/>
    <col min="241" max="241" width="20.57421875" style="99" bestFit="1" customWidth="1"/>
    <col min="242" max="242" width="20.421875" style="99" bestFit="1" customWidth="1"/>
    <col min="243" max="243" width="20.00390625" style="99" bestFit="1" customWidth="1"/>
    <col min="244" max="244" width="11.8515625" style="0" customWidth="1"/>
    <col min="245" max="245" width="17.140625" style="99" customWidth="1"/>
    <col min="246" max="246" width="20.57421875" style="99" bestFit="1" customWidth="1"/>
    <col min="247" max="247" width="20.421875" style="99" customWidth="1"/>
    <col min="248" max="248" width="20.00390625" style="99" bestFit="1" customWidth="1"/>
    <col min="249" max="249" width="11.8515625" style="0" customWidth="1"/>
    <col min="250" max="250" width="17.140625" style="99" customWidth="1"/>
    <col min="251" max="251" width="20.57421875" style="99" bestFit="1" customWidth="1"/>
    <col min="252" max="252" width="20.421875" style="99" bestFit="1" customWidth="1"/>
  </cols>
  <sheetData>
    <row r="1" spans="4:249" ht="12.75">
      <c r="D1" s="1" t="s">
        <v>0</v>
      </c>
      <c r="I1" s="1" t="s">
        <v>0</v>
      </c>
      <c r="N1" s="1" t="s">
        <v>0</v>
      </c>
      <c r="S1" s="1" t="s">
        <v>0</v>
      </c>
      <c r="X1" s="1" t="s">
        <v>0</v>
      </c>
      <c r="AC1" s="1" t="s">
        <v>0</v>
      </c>
      <c r="AH1" s="1" t="s">
        <v>0</v>
      </c>
      <c r="AM1" s="1" t="s">
        <v>0</v>
      </c>
      <c r="AR1" s="1" t="s">
        <v>0</v>
      </c>
      <c r="AW1" s="1" t="s">
        <v>0</v>
      </c>
      <c r="BB1" s="1" t="s">
        <v>0</v>
      </c>
      <c r="BG1" s="1" t="s">
        <v>0</v>
      </c>
      <c r="BL1" s="1" t="s">
        <v>0</v>
      </c>
      <c r="BQ1" s="1" t="s">
        <v>0</v>
      </c>
      <c r="BV1" s="1" t="s">
        <v>0</v>
      </c>
      <c r="CA1" s="1" t="s">
        <v>0</v>
      </c>
      <c r="CF1" s="1" t="s">
        <v>0</v>
      </c>
      <c r="CK1" s="1" t="s">
        <v>0</v>
      </c>
      <c r="CP1" s="1" t="s">
        <v>0</v>
      </c>
      <c r="CU1" s="1" t="s">
        <v>0</v>
      </c>
      <c r="CZ1" s="1" t="s">
        <v>0</v>
      </c>
      <c r="DE1" s="1" t="s">
        <v>0</v>
      </c>
      <c r="DJ1" s="1" t="s">
        <v>0</v>
      </c>
      <c r="DO1" s="1" t="s">
        <v>0</v>
      </c>
      <c r="DT1" s="1" t="s">
        <v>0</v>
      </c>
      <c r="DY1" s="1" t="s">
        <v>0</v>
      </c>
      <c r="ED1" s="1" t="s">
        <v>0</v>
      </c>
      <c r="EI1" s="1" t="s">
        <v>0</v>
      </c>
      <c r="EN1" s="1" t="s">
        <v>0</v>
      </c>
      <c r="ES1" s="1" t="s">
        <v>0</v>
      </c>
      <c r="EX1" s="1" t="s">
        <v>0</v>
      </c>
      <c r="FC1" s="1" t="s">
        <v>0</v>
      </c>
      <c r="FH1" s="1" t="s">
        <v>0</v>
      </c>
      <c r="FM1" s="1" t="s">
        <v>0</v>
      </c>
      <c r="FR1" s="1" t="s">
        <v>0</v>
      </c>
      <c r="FW1" s="1" t="s">
        <v>0</v>
      </c>
      <c r="GB1" s="1" t="s">
        <v>0</v>
      </c>
      <c r="GG1" s="1" t="s">
        <v>0</v>
      </c>
      <c r="GL1" s="1" t="s">
        <v>0</v>
      </c>
      <c r="GQ1" s="1" t="s">
        <v>0</v>
      </c>
      <c r="GV1" s="1" t="s">
        <v>0</v>
      </c>
      <c r="HA1" s="1" t="s">
        <v>0</v>
      </c>
      <c r="HF1" s="1" t="s">
        <v>0</v>
      </c>
      <c r="HK1" s="1" t="s">
        <v>0</v>
      </c>
      <c r="HP1" s="1" t="s">
        <v>0</v>
      </c>
      <c r="HU1" s="1" t="s">
        <v>0</v>
      </c>
      <c r="HZ1" s="1" t="s">
        <v>0</v>
      </c>
      <c r="IE1" s="1" t="s">
        <v>0</v>
      </c>
      <c r="IJ1" s="1" t="s">
        <v>0</v>
      </c>
      <c r="IO1" s="1" t="s">
        <v>0</v>
      </c>
    </row>
    <row r="2" ht="13.5" thickBot="1"/>
    <row r="3" spans="2:252" ht="12.75">
      <c r="B3" s="101" t="s">
        <v>4</v>
      </c>
      <c r="C3" s="100" t="s">
        <v>5</v>
      </c>
      <c r="D3" s="6" t="s">
        <v>27</v>
      </c>
      <c r="E3" s="100" t="s">
        <v>17</v>
      </c>
      <c r="F3" s="100" t="s">
        <v>6</v>
      </c>
      <c r="G3" s="101" t="s">
        <v>4</v>
      </c>
      <c r="H3" s="100" t="s">
        <v>5</v>
      </c>
      <c r="I3" s="6" t="s">
        <v>27</v>
      </c>
      <c r="J3" s="100" t="s">
        <v>17</v>
      </c>
      <c r="K3" s="100" t="s">
        <v>6</v>
      </c>
      <c r="L3" s="101" t="s">
        <v>4</v>
      </c>
      <c r="M3" s="100" t="s">
        <v>5</v>
      </c>
      <c r="N3" s="6" t="s">
        <v>27</v>
      </c>
      <c r="O3" s="100" t="s">
        <v>17</v>
      </c>
      <c r="P3" s="100" t="s">
        <v>6</v>
      </c>
      <c r="Q3" s="101" t="s">
        <v>4</v>
      </c>
      <c r="R3" s="100" t="s">
        <v>5</v>
      </c>
      <c r="S3" s="6" t="s">
        <v>27</v>
      </c>
      <c r="T3" s="100" t="s">
        <v>17</v>
      </c>
      <c r="U3" s="100" t="s">
        <v>6</v>
      </c>
      <c r="V3" s="101" t="s">
        <v>4</v>
      </c>
      <c r="W3" s="100" t="s">
        <v>5</v>
      </c>
      <c r="X3" s="6" t="s">
        <v>27</v>
      </c>
      <c r="Y3" s="100" t="s">
        <v>17</v>
      </c>
      <c r="Z3" s="100" t="s">
        <v>6</v>
      </c>
      <c r="AA3" s="101" t="s">
        <v>4</v>
      </c>
      <c r="AB3" s="100" t="s">
        <v>5</v>
      </c>
      <c r="AC3" s="6" t="s">
        <v>27</v>
      </c>
      <c r="AD3" s="100" t="s">
        <v>17</v>
      </c>
      <c r="AE3" s="100" t="s">
        <v>6</v>
      </c>
      <c r="AF3" s="101" t="s">
        <v>4</v>
      </c>
      <c r="AG3" s="100" t="s">
        <v>5</v>
      </c>
      <c r="AH3" s="6" t="s">
        <v>27</v>
      </c>
      <c r="AI3" s="100" t="s">
        <v>17</v>
      </c>
      <c r="AJ3" s="100" t="s">
        <v>6</v>
      </c>
      <c r="AK3" s="101" t="s">
        <v>4</v>
      </c>
      <c r="AL3" s="100" t="s">
        <v>5</v>
      </c>
      <c r="AM3" s="6" t="s">
        <v>27</v>
      </c>
      <c r="AN3" s="100" t="s">
        <v>17</v>
      </c>
      <c r="AO3" s="100" t="s">
        <v>6</v>
      </c>
      <c r="AP3" s="101" t="s">
        <v>4</v>
      </c>
      <c r="AQ3" s="100" t="s">
        <v>5</v>
      </c>
      <c r="AR3" s="6" t="s">
        <v>27</v>
      </c>
      <c r="AS3" s="100" t="s">
        <v>17</v>
      </c>
      <c r="AT3" s="100" t="s">
        <v>6</v>
      </c>
      <c r="AU3" s="101" t="s">
        <v>4</v>
      </c>
      <c r="AV3" s="100" t="s">
        <v>5</v>
      </c>
      <c r="AW3" s="6" t="s">
        <v>27</v>
      </c>
      <c r="AX3" s="100" t="s">
        <v>17</v>
      </c>
      <c r="AY3" s="100" t="s">
        <v>6</v>
      </c>
      <c r="AZ3" s="101" t="s">
        <v>4</v>
      </c>
      <c r="BA3" s="100" t="s">
        <v>5</v>
      </c>
      <c r="BB3" s="6" t="s">
        <v>27</v>
      </c>
      <c r="BC3" s="100" t="s">
        <v>17</v>
      </c>
      <c r="BD3" s="100" t="s">
        <v>6</v>
      </c>
      <c r="BE3" s="101" t="s">
        <v>4</v>
      </c>
      <c r="BF3" s="100" t="s">
        <v>5</v>
      </c>
      <c r="BG3" s="6" t="s">
        <v>27</v>
      </c>
      <c r="BH3" s="100" t="s">
        <v>17</v>
      </c>
      <c r="BI3" s="100" t="s">
        <v>6</v>
      </c>
      <c r="BJ3" s="101" t="s">
        <v>4</v>
      </c>
      <c r="BK3" s="100" t="s">
        <v>5</v>
      </c>
      <c r="BL3" s="6" t="s">
        <v>27</v>
      </c>
      <c r="BM3" s="100" t="s">
        <v>17</v>
      </c>
      <c r="BN3" s="100" t="s">
        <v>6</v>
      </c>
      <c r="BO3" s="101" t="s">
        <v>4</v>
      </c>
      <c r="BP3" s="100" t="s">
        <v>5</v>
      </c>
      <c r="BQ3" s="6" t="s">
        <v>27</v>
      </c>
      <c r="BR3" s="100" t="s">
        <v>17</v>
      </c>
      <c r="BS3" s="100" t="s">
        <v>6</v>
      </c>
      <c r="BT3" s="101" t="s">
        <v>4</v>
      </c>
      <c r="BU3" s="100" t="s">
        <v>5</v>
      </c>
      <c r="BV3" s="6" t="s">
        <v>27</v>
      </c>
      <c r="BW3" s="100" t="s">
        <v>17</v>
      </c>
      <c r="BX3" s="100" t="s">
        <v>6</v>
      </c>
      <c r="BY3" s="101" t="s">
        <v>4</v>
      </c>
      <c r="BZ3" s="100" t="s">
        <v>5</v>
      </c>
      <c r="CA3" s="6" t="s">
        <v>27</v>
      </c>
      <c r="CB3" s="100" t="s">
        <v>17</v>
      </c>
      <c r="CC3" s="100" t="s">
        <v>6</v>
      </c>
      <c r="CD3" s="101" t="s">
        <v>4</v>
      </c>
      <c r="CE3" s="100" t="s">
        <v>5</v>
      </c>
      <c r="CF3" s="6" t="s">
        <v>27</v>
      </c>
      <c r="CG3" s="100" t="s">
        <v>17</v>
      </c>
      <c r="CH3" s="100" t="s">
        <v>6</v>
      </c>
      <c r="CI3" s="101" t="s">
        <v>4</v>
      </c>
      <c r="CJ3" s="100" t="s">
        <v>5</v>
      </c>
      <c r="CK3" s="6" t="s">
        <v>27</v>
      </c>
      <c r="CL3" s="100" t="s">
        <v>17</v>
      </c>
      <c r="CM3" s="100" t="s">
        <v>6</v>
      </c>
      <c r="CN3" s="101" t="s">
        <v>4</v>
      </c>
      <c r="CO3" s="100" t="s">
        <v>5</v>
      </c>
      <c r="CP3" s="6" t="s">
        <v>27</v>
      </c>
      <c r="CQ3" s="100" t="s">
        <v>17</v>
      </c>
      <c r="CR3" s="100" t="s">
        <v>6</v>
      </c>
      <c r="CS3" s="101" t="s">
        <v>4</v>
      </c>
      <c r="CT3" s="100" t="s">
        <v>5</v>
      </c>
      <c r="CU3" s="6" t="s">
        <v>27</v>
      </c>
      <c r="CV3" s="100" t="s">
        <v>17</v>
      </c>
      <c r="CW3" s="100" t="s">
        <v>6</v>
      </c>
      <c r="CX3" s="101" t="s">
        <v>4</v>
      </c>
      <c r="CY3" s="100" t="s">
        <v>5</v>
      </c>
      <c r="CZ3" s="6" t="s">
        <v>27</v>
      </c>
      <c r="DA3" s="100" t="s">
        <v>17</v>
      </c>
      <c r="DB3" s="100" t="s">
        <v>6</v>
      </c>
      <c r="DC3" s="101" t="s">
        <v>4</v>
      </c>
      <c r="DD3" s="100" t="s">
        <v>5</v>
      </c>
      <c r="DE3" s="6" t="s">
        <v>27</v>
      </c>
      <c r="DF3" s="100" t="s">
        <v>17</v>
      </c>
      <c r="DG3" s="100" t="s">
        <v>6</v>
      </c>
      <c r="DH3" s="101" t="s">
        <v>4</v>
      </c>
      <c r="DI3" s="100" t="s">
        <v>5</v>
      </c>
      <c r="DJ3" s="6" t="s">
        <v>27</v>
      </c>
      <c r="DK3" s="100" t="s">
        <v>17</v>
      </c>
      <c r="DL3" s="100" t="s">
        <v>6</v>
      </c>
      <c r="DM3" s="101" t="s">
        <v>4</v>
      </c>
      <c r="DN3" s="100" t="s">
        <v>5</v>
      </c>
      <c r="DO3" s="6" t="s">
        <v>27</v>
      </c>
      <c r="DP3" s="100" t="s">
        <v>17</v>
      </c>
      <c r="DQ3" s="100" t="s">
        <v>6</v>
      </c>
      <c r="DR3" s="101" t="s">
        <v>4</v>
      </c>
      <c r="DS3" s="100" t="s">
        <v>5</v>
      </c>
      <c r="DT3" s="6" t="s">
        <v>27</v>
      </c>
      <c r="DU3" s="100" t="s">
        <v>17</v>
      </c>
      <c r="DV3" s="100" t="s">
        <v>6</v>
      </c>
      <c r="DW3" s="101" t="s">
        <v>4</v>
      </c>
      <c r="DX3" s="100" t="s">
        <v>5</v>
      </c>
      <c r="DY3" s="6" t="s">
        <v>27</v>
      </c>
      <c r="DZ3" s="100" t="s">
        <v>17</v>
      </c>
      <c r="EA3" s="100" t="s">
        <v>6</v>
      </c>
      <c r="EB3" s="101" t="s">
        <v>4</v>
      </c>
      <c r="EC3" s="100" t="s">
        <v>5</v>
      </c>
      <c r="ED3" s="6" t="s">
        <v>27</v>
      </c>
      <c r="EE3" s="100" t="s">
        <v>17</v>
      </c>
      <c r="EF3" s="100" t="s">
        <v>6</v>
      </c>
      <c r="EG3" s="101" t="s">
        <v>4</v>
      </c>
      <c r="EH3" s="100" t="s">
        <v>5</v>
      </c>
      <c r="EI3" s="6" t="s">
        <v>27</v>
      </c>
      <c r="EJ3" s="100" t="s">
        <v>17</v>
      </c>
      <c r="EK3" s="100" t="s">
        <v>6</v>
      </c>
      <c r="EL3" s="101" t="s">
        <v>4</v>
      </c>
      <c r="EM3" s="100" t="s">
        <v>5</v>
      </c>
      <c r="EN3" s="6" t="s">
        <v>27</v>
      </c>
      <c r="EO3" s="100" t="s">
        <v>17</v>
      </c>
      <c r="EP3" s="100" t="s">
        <v>6</v>
      </c>
      <c r="EQ3" s="101" t="s">
        <v>4</v>
      </c>
      <c r="ER3" s="100" t="s">
        <v>5</v>
      </c>
      <c r="ES3" s="6" t="s">
        <v>27</v>
      </c>
      <c r="ET3" s="100" t="s">
        <v>17</v>
      </c>
      <c r="EU3" s="100" t="s">
        <v>6</v>
      </c>
      <c r="EV3" s="101" t="s">
        <v>4</v>
      </c>
      <c r="EW3" s="100" t="s">
        <v>5</v>
      </c>
      <c r="EX3" s="6" t="s">
        <v>27</v>
      </c>
      <c r="EY3" s="100" t="s">
        <v>17</v>
      </c>
      <c r="EZ3" s="100" t="s">
        <v>6</v>
      </c>
      <c r="FA3" s="101" t="s">
        <v>4</v>
      </c>
      <c r="FB3" s="100" t="s">
        <v>5</v>
      </c>
      <c r="FC3" s="6" t="s">
        <v>27</v>
      </c>
      <c r="FD3" s="100" t="s">
        <v>17</v>
      </c>
      <c r="FE3" s="100" t="s">
        <v>6</v>
      </c>
      <c r="FF3" s="101" t="s">
        <v>4</v>
      </c>
      <c r="FG3" s="100" t="s">
        <v>5</v>
      </c>
      <c r="FH3" s="6" t="s">
        <v>27</v>
      </c>
      <c r="FI3" s="100" t="s">
        <v>17</v>
      </c>
      <c r="FJ3" s="100" t="s">
        <v>6</v>
      </c>
      <c r="FK3" s="101" t="s">
        <v>4</v>
      </c>
      <c r="FL3" s="100" t="s">
        <v>5</v>
      </c>
      <c r="FM3" s="6" t="s">
        <v>27</v>
      </c>
      <c r="FN3" s="100" t="s">
        <v>17</v>
      </c>
      <c r="FO3" s="100" t="s">
        <v>6</v>
      </c>
      <c r="FP3" s="101" t="s">
        <v>4</v>
      </c>
      <c r="FQ3" s="100" t="s">
        <v>5</v>
      </c>
      <c r="FR3" s="6" t="s">
        <v>27</v>
      </c>
      <c r="FS3" s="100" t="s">
        <v>17</v>
      </c>
      <c r="FT3" s="100" t="s">
        <v>6</v>
      </c>
      <c r="FU3" s="101" t="s">
        <v>4</v>
      </c>
      <c r="FV3" s="100" t="s">
        <v>5</v>
      </c>
      <c r="FW3" s="6" t="s">
        <v>27</v>
      </c>
      <c r="FX3" s="100" t="s">
        <v>17</v>
      </c>
      <c r="FY3" s="100" t="s">
        <v>6</v>
      </c>
      <c r="FZ3" s="101" t="s">
        <v>4</v>
      </c>
      <c r="GA3" s="100" t="s">
        <v>5</v>
      </c>
      <c r="GB3" s="6" t="s">
        <v>27</v>
      </c>
      <c r="GC3" s="100" t="s">
        <v>17</v>
      </c>
      <c r="GD3" s="100" t="s">
        <v>6</v>
      </c>
      <c r="GE3" s="101" t="s">
        <v>4</v>
      </c>
      <c r="GF3" s="100" t="s">
        <v>5</v>
      </c>
      <c r="GG3" s="6" t="s">
        <v>27</v>
      </c>
      <c r="GH3" s="100" t="s">
        <v>17</v>
      </c>
      <c r="GI3" s="100" t="s">
        <v>6</v>
      </c>
      <c r="GJ3" s="101" t="s">
        <v>4</v>
      </c>
      <c r="GK3" s="100" t="s">
        <v>5</v>
      </c>
      <c r="GL3" s="6" t="s">
        <v>27</v>
      </c>
      <c r="GM3" s="100" t="s">
        <v>17</v>
      </c>
      <c r="GN3" s="100" t="s">
        <v>6</v>
      </c>
      <c r="GO3" s="101" t="s">
        <v>4</v>
      </c>
      <c r="GP3" s="100" t="s">
        <v>5</v>
      </c>
      <c r="GQ3" s="6" t="s">
        <v>27</v>
      </c>
      <c r="GR3" s="100" t="s">
        <v>17</v>
      </c>
      <c r="GS3" s="100" t="s">
        <v>6</v>
      </c>
      <c r="GT3" s="101" t="s">
        <v>4</v>
      </c>
      <c r="GU3" s="100" t="s">
        <v>5</v>
      </c>
      <c r="GV3" s="6" t="s">
        <v>27</v>
      </c>
      <c r="GW3" s="100" t="s">
        <v>17</v>
      </c>
      <c r="GX3" s="100" t="s">
        <v>6</v>
      </c>
      <c r="GY3" s="101" t="s">
        <v>4</v>
      </c>
      <c r="GZ3" s="100" t="s">
        <v>5</v>
      </c>
      <c r="HA3" s="6" t="s">
        <v>27</v>
      </c>
      <c r="HB3" s="100" t="s">
        <v>17</v>
      </c>
      <c r="HC3" s="100" t="s">
        <v>6</v>
      </c>
      <c r="HD3" s="101" t="s">
        <v>4</v>
      </c>
      <c r="HE3" s="100" t="s">
        <v>5</v>
      </c>
      <c r="HF3" s="6" t="s">
        <v>27</v>
      </c>
      <c r="HG3" s="100" t="s">
        <v>17</v>
      </c>
      <c r="HH3" s="100" t="s">
        <v>6</v>
      </c>
      <c r="HI3" s="101" t="s">
        <v>4</v>
      </c>
      <c r="HJ3" s="100" t="s">
        <v>5</v>
      </c>
      <c r="HK3" s="6" t="s">
        <v>27</v>
      </c>
      <c r="HL3" s="100" t="s">
        <v>17</v>
      </c>
      <c r="HM3" s="100" t="s">
        <v>6</v>
      </c>
      <c r="HN3" s="101" t="s">
        <v>4</v>
      </c>
      <c r="HO3" s="100" t="s">
        <v>5</v>
      </c>
      <c r="HP3" s="6" t="s">
        <v>27</v>
      </c>
      <c r="HQ3" s="100" t="s">
        <v>17</v>
      </c>
      <c r="HR3" s="100" t="s">
        <v>6</v>
      </c>
      <c r="HS3" s="101" t="s">
        <v>4</v>
      </c>
      <c r="HT3" s="100" t="s">
        <v>5</v>
      </c>
      <c r="HU3" s="6" t="s">
        <v>27</v>
      </c>
      <c r="HV3" s="100" t="s">
        <v>17</v>
      </c>
      <c r="HW3" s="100" t="s">
        <v>6</v>
      </c>
      <c r="HX3" s="101" t="s">
        <v>4</v>
      </c>
      <c r="HY3" s="100" t="s">
        <v>5</v>
      </c>
      <c r="HZ3" s="6" t="s">
        <v>27</v>
      </c>
      <c r="IA3" s="100" t="s">
        <v>17</v>
      </c>
      <c r="IB3" s="100" t="s">
        <v>6</v>
      </c>
      <c r="IC3" s="101" t="s">
        <v>4</v>
      </c>
      <c r="ID3" s="100" t="s">
        <v>5</v>
      </c>
      <c r="IE3" s="6" t="s">
        <v>27</v>
      </c>
      <c r="IF3" s="100" t="s">
        <v>17</v>
      </c>
      <c r="IG3" s="100" t="s">
        <v>6</v>
      </c>
      <c r="IH3" s="101" t="s">
        <v>4</v>
      </c>
      <c r="II3" s="100" t="s">
        <v>5</v>
      </c>
      <c r="IJ3" s="6" t="s">
        <v>27</v>
      </c>
      <c r="IK3" s="100" t="s">
        <v>17</v>
      </c>
      <c r="IL3" s="100" t="s">
        <v>6</v>
      </c>
      <c r="IM3" s="101" t="s">
        <v>4</v>
      </c>
      <c r="IN3" s="100" t="s">
        <v>5</v>
      </c>
      <c r="IO3" s="6" t="s">
        <v>27</v>
      </c>
      <c r="IP3" s="100" t="s">
        <v>17</v>
      </c>
      <c r="IQ3" s="100" t="s">
        <v>6</v>
      </c>
      <c r="IR3" s="101" t="s">
        <v>4</v>
      </c>
    </row>
    <row r="4" spans="2:252" ht="13.5" thickBot="1">
      <c r="B4" s="155" t="s">
        <v>278</v>
      </c>
      <c r="C4" s="102" t="s">
        <v>12</v>
      </c>
      <c r="D4" s="5" t="s">
        <v>28</v>
      </c>
      <c r="E4" s="102"/>
      <c r="F4" s="102" t="s">
        <v>7</v>
      </c>
      <c r="G4" s="155" t="s">
        <v>281</v>
      </c>
      <c r="H4" s="102" t="s">
        <v>12</v>
      </c>
      <c r="I4" s="5" t="s">
        <v>28</v>
      </c>
      <c r="J4" s="102"/>
      <c r="K4" s="102" t="s">
        <v>7</v>
      </c>
      <c r="L4" s="155" t="s">
        <v>285</v>
      </c>
      <c r="M4" s="102" t="s">
        <v>12</v>
      </c>
      <c r="N4" s="5" t="s">
        <v>28</v>
      </c>
      <c r="O4" s="102"/>
      <c r="P4" s="102" t="s">
        <v>7</v>
      </c>
      <c r="Q4" s="155" t="s">
        <v>288</v>
      </c>
      <c r="R4" s="102" t="s">
        <v>12</v>
      </c>
      <c r="S4" s="5" t="s">
        <v>28</v>
      </c>
      <c r="T4" s="102"/>
      <c r="U4" s="102" t="s">
        <v>7</v>
      </c>
      <c r="V4" s="155" t="s">
        <v>291</v>
      </c>
      <c r="W4" s="102" t="s">
        <v>12</v>
      </c>
      <c r="X4" s="5" t="s">
        <v>28</v>
      </c>
      <c r="Y4" s="102"/>
      <c r="Z4" s="102" t="s">
        <v>7</v>
      </c>
      <c r="AA4" s="155" t="s">
        <v>293</v>
      </c>
      <c r="AB4" s="102" t="s">
        <v>12</v>
      </c>
      <c r="AC4" s="5" t="s">
        <v>28</v>
      </c>
      <c r="AD4" s="102"/>
      <c r="AE4" s="102" t="s">
        <v>7</v>
      </c>
      <c r="AF4" s="155" t="s">
        <v>295</v>
      </c>
      <c r="AG4" s="102" t="s">
        <v>12</v>
      </c>
      <c r="AH4" s="5" t="s">
        <v>28</v>
      </c>
      <c r="AI4" s="102"/>
      <c r="AJ4" s="102" t="s">
        <v>7</v>
      </c>
      <c r="AK4" s="155" t="s">
        <v>296</v>
      </c>
      <c r="AL4" s="102" t="s">
        <v>12</v>
      </c>
      <c r="AM4" s="5" t="s">
        <v>28</v>
      </c>
      <c r="AN4" s="102"/>
      <c r="AO4" s="102" t="s">
        <v>7</v>
      </c>
      <c r="AP4" s="155" t="s">
        <v>299</v>
      </c>
      <c r="AQ4" s="102" t="s">
        <v>12</v>
      </c>
      <c r="AR4" s="5" t="s">
        <v>28</v>
      </c>
      <c r="AS4" s="102"/>
      <c r="AT4" s="102" t="s">
        <v>7</v>
      </c>
      <c r="AU4" s="155" t="s">
        <v>302</v>
      </c>
      <c r="AV4" s="102" t="s">
        <v>12</v>
      </c>
      <c r="AW4" s="5" t="s">
        <v>28</v>
      </c>
      <c r="AX4" s="102"/>
      <c r="AY4" s="102" t="s">
        <v>7</v>
      </c>
      <c r="AZ4" s="155" t="s">
        <v>305</v>
      </c>
      <c r="BA4" s="102" t="s">
        <v>12</v>
      </c>
      <c r="BB4" s="5" t="s">
        <v>28</v>
      </c>
      <c r="BC4" s="102"/>
      <c r="BD4" s="102" t="s">
        <v>7</v>
      </c>
      <c r="BE4" s="155" t="s">
        <v>307</v>
      </c>
      <c r="BF4" s="102" t="s">
        <v>12</v>
      </c>
      <c r="BG4" s="5" t="s">
        <v>28</v>
      </c>
      <c r="BH4" s="102"/>
      <c r="BI4" s="102" t="s">
        <v>7</v>
      </c>
      <c r="BJ4" s="155" t="s">
        <v>311</v>
      </c>
      <c r="BK4" s="102" t="s">
        <v>12</v>
      </c>
      <c r="BL4" s="5" t="s">
        <v>28</v>
      </c>
      <c r="BM4" s="102"/>
      <c r="BN4" s="102" t="s">
        <v>7</v>
      </c>
      <c r="BO4" s="155" t="s">
        <v>313</v>
      </c>
      <c r="BP4" s="102" t="s">
        <v>12</v>
      </c>
      <c r="BQ4" s="5" t="s">
        <v>28</v>
      </c>
      <c r="BR4" s="102"/>
      <c r="BS4" s="102" t="s">
        <v>7</v>
      </c>
      <c r="BT4" s="155" t="s">
        <v>315</v>
      </c>
      <c r="BU4" s="102" t="s">
        <v>12</v>
      </c>
      <c r="BV4" s="5" t="s">
        <v>28</v>
      </c>
      <c r="BW4" s="102"/>
      <c r="BX4" s="102" t="s">
        <v>7</v>
      </c>
      <c r="BY4" s="155" t="s">
        <v>317</v>
      </c>
      <c r="BZ4" s="102" t="s">
        <v>12</v>
      </c>
      <c r="CA4" s="5" t="s">
        <v>28</v>
      </c>
      <c r="CB4" s="102"/>
      <c r="CC4" s="102" t="s">
        <v>7</v>
      </c>
      <c r="CD4" s="155" t="s">
        <v>319</v>
      </c>
      <c r="CE4" s="102" t="s">
        <v>12</v>
      </c>
      <c r="CF4" s="5" t="s">
        <v>28</v>
      </c>
      <c r="CG4" s="102"/>
      <c r="CH4" s="102" t="s">
        <v>7</v>
      </c>
      <c r="CI4" s="155" t="s">
        <v>327</v>
      </c>
      <c r="CJ4" s="102" t="s">
        <v>12</v>
      </c>
      <c r="CK4" s="5" t="s">
        <v>28</v>
      </c>
      <c r="CL4" s="102"/>
      <c r="CM4" s="102" t="s">
        <v>7</v>
      </c>
      <c r="CN4" s="155" t="s">
        <v>328</v>
      </c>
      <c r="CO4" s="102" t="s">
        <v>12</v>
      </c>
      <c r="CP4" s="5" t="s">
        <v>28</v>
      </c>
      <c r="CQ4" s="102"/>
      <c r="CR4" s="102" t="s">
        <v>7</v>
      </c>
      <c r="CS4" s="155" t="s">
        <v>331</v>
      </c>
      <c r="CT4" s="102" t="s">
        <v>12</v>
      </c>
      <c r="CU4" s="5" t="s">
        <v>28</v>
      </c>
      <c r="CV4" s="102"/>
      <c r="CW4" s="102" t="s">
        <v>7</v>
      </c>
      <c r="CX4" s="155" t="s">
        <v>334</v>
      </c>
      <c r="CY4" s="102" t="s">
        <v>12</v>
      </c>
      <c r="CZ4" s="5" t="s">
        <v>28</v>
      </c>
      <c r="DA4" s="102"/>
      <c r="DB4" s="102" t="s">
        <v>7</v>
      </c>
      <c r="DC4" s="155" t="s">
        <v>336</v>
      </c>
      <c r="DD4" s="102" t="s">
        <v>12</v>
      </c>
      <c r="DE4" s="5" t="s">
        <v>28</v>
      </c>
      <c r="DF4" s="102"/>
      <c r="DG4" s="102" t="s">
        <v>7</v>
      </c>
      <c r="DH4" s="155" t="s">
        <v>337</v>
      </c>
      <c r="DI4" s="102" t="s">
        <v>12</v>
      </c>
      <c r="DJ4" s="5" t="s">
        <v>28</v>
      </c>
      <c r="DK4" s="102"/>
      <c r="DL4" s="102" t="s">
        <v>7</v>
      </c>
      <c r="DM4" s="155" t="s">
        <v>340</v>
      </c>
      <c r="DN4" s="102" t="s">
        <v>12</v>
      </c>
      <c r="DO4" s="5" t="s">
        <v>28</v>
      </c>
      <c r="DP4" s="102"/>
      <c r="DQ4" s="102" t="s">
        <v>7</v>
      </c>
      <c r="DR4" s="155" t="s">
        <v>345</v>
      </c>
      <c r="DS4" s="102" t="s">
        <v>12</v>
      </c>
      <c r="DT4" s="5" t="s">
        <v>28</v>
      </c>
      <c r="DU4" s="102"/>
      <c r="DV4" s="102" t="s">
        <v>7</v>
      </c>
      <c r="DW4" s="155" t="s">
        <v>347</v>
      </c>
      <c r="DX4" s="102" t="s">
        <v>12</v>
      </c>
      <c r="DY4" s="5" t="s">
        <v>28</v>
      </c>
      <c r="DZ4" s="102"/>
      <c r="EA4" s="102" t="s">
        <v>7</v>
      </c>
      <c r="EB4" s="155" t="s">
        <v>349</v>
      </c>
      <c r="EC4" s="102" t="s">
        <v>12</v>
      </c>
      <c r="ED4" s="5" t="s">
        <v>28</v>
      </c>
      <c r="EE4" s="102"/>
      <c r="EF4" s="102" t="s">
        <v>7</v>
      </c>
      <c r="EG4" s="155" t="s">
        <v>351</v>
      </c>
      <c r="EH4" s="102" t="s">
        <v>12</v>
      </c>
      <c r="EI4" s="5" t="s">
        <v>28</v>
      </c>
      <c r="EJ4" s="102"/>
      <c r="EK4" s="102" t="s">
        <v>7</v>
      </c>
      <c r="EL4" s="155" t="s">
        <v>355</v>
      </c>
      <c r="EM4" s="102" t="s">
        <v>12</v>
      </c>
      <c r="EN4" s="5" t="s">
        <v>28</v>
      </c>
      <c r="EO4" s="102"/>
      <c r="EP4" s="102" t="s">
        <v>7</v>
      </c>
      <c r="EQ4" s="155" t="s">
        <v>357</v>
      </c>
      <c r="ER4" s="102" t="s">
        <v>12</v>
      </c>
      <c r="ES4" s="5" t="s">
        <v>28</v>
      </c>
      <c r="ET4" s="102"/>
      <c r="EU4" s="102" t="s">
        <v>7</v>
      </c>
      <c r="EV4" s="155" t="s">
        <v>360</v>
      </c>
      <c r="EW4" s="102" t="s">
        <v>12</v>
      </c>
      <c r="EX4" s="5" t="s">
        <v>28</v>
      </c>
      <c r="EY4" s="102"/>
      <c r="EZ4" s="102" t="s">
        <v>7</v>
      </c>
      <c r="FA4" s="155" t="s">
        <v>363</v>
      </c>
      <c r="FB4" s="102" t="s">
        <v>12</v>
      </c>
      <c r="FC4" s="5" t="s">
        <v>28</v>
      </c>
      <c r="FD4" s="102"/>
      <c r="FE4" s="102" t="s">
        <v>7</v>
      </c>
      <c r="FF4" s="155" t="s">
        <v>364</v>
      </c>
      <c r="FG4" s="102" t="s">
        <v>12</v>
      </c>
      <c r="FH4" s="5" t="s">
        <v>28</v>
      </c>
      <c r="FI4" s="102"/>
      <c r="FJ4" s="102" t="s">
        <v>7</v>
      </c>
      <c r="FK4" s="155" t="s">
        <v>364</v>
      </c>
      <c r="FL4" s="102" t="s">
        <v>12</v>
      </c>
      <c r="FM4" s="5" t="s">
        <v>28</v>
      </c>
      <c r="FN4" s="102"/>
      <c r="FO4" s="102" t="s">
        <v>7</v>
      </c>
      <c r="FP4" s="155" t="s">
        <v>368</v>
      </c>
      <c r="FQ4" s="102" t="s">
        <v>12</v>
      </c>
      <c r="FR4" s="5" t="s">
        <v>28</v>
      </c>
      <c r="FS4" s="102"/>
      <c r="FT4" s="102" t="s">
        <v>7</v>
      </c>
      <c r="FU4" s="155" t="s">
        <v>371</v>
      </c>
      <c r="FV4" s="102" t="s">
        <v>12</v>
      </c>
      <c r="FW4" s="5" t="s">
        <v>28</v>
      </c>
      <c r="FX4" s="102"/>
      <c r="FY4" s="102" t="s">
        <v>7</v>
      </c>
      <c r="FZ4" s="155" t="s">
        <v>379</v>
      </c>
      <c r="GA4" s="102" t="s">
        <v>12</v>
      </c>
      <c r="GB4" s="5" t="s">
        <v>28</v>
      </c>
      <c r="GC4" s="102"/>
      <c r="GD4" s="102" t="s">
        <v>7</v>
      </c>
      <c r="GE4" s="155" t="s">
        <v>384</v>
      </c>
      <c r="GF4" s="102" t="s">
        <v>12</v>
      </c>
      <c r="GG4" s="5" t="s">
        <v>28</v>
      </c>
      <c r="GH4" s="102"/>
      <c r="GI4" s="102" t="s">
        <v>7</v>
      </c>
      <c r="GJ4" s="155" t="s">
        <v>388</v>
      </c>
      <c r="GK4" s="102" t="s">
        <v>12</v>
      </c>
      <c r="GL4" s="5" t="s">
        <v>28</v>
      </c>
      <c r="GM4" s="102"/>
      <c r="GN4" s="102" t="s">
        <v>7</v>
      </c>
      <c r="GO4" s="155" t="s">
        <v>392</v>
      </c>
      <c r="GP4" s="102" t="s">
        <v>12</v>
      </c>
      <c r="GQ4" s="5" t="s">
        <v>28</v>
      </c>
      <c r="GR4" s="102"/>
      <c r="GS4" s="102" t="s">
        <v>7</v>
      </c>
      <c r="GT4" s="155" t="s">
        <v>396</v>
      </c>
      <c r="GU4" s="102" t="s">
        <v>12</v>
      </c>
      <c r="GV4" s="5" t="s">
        <v>28</v>
      </c>
      <c r="GW4" s="102"/>
      <c r="GX4" s="102" t="s">
        <v>7</v>
      </c>
      <c r="GY4" s="155" t="s">
        <v>400</v>
      </c>
      <c r="GZ4" s="102" t="s">
        <v>12</v>
      </c>
      <c r="HA4" s="5" t="s">
        <v>28</v>
      </c>
      <c r="HB4" s="102"/>
      <c r="HC4" s="102" t="s">
        <v>7</v>
      </c>
      <c r="HD4" s="155" t="s">
        <v>404</v>
      </c>
      <c r="HE4" s="102" t="s">
        <v>12</v>
      </c>
      <c r="HF4" s="5" t="s">
        <v>28</v>
      </c>
      <c r="HG4" s="102"/>
      <c r="HH4" s="102" t="s">
        <v>7</v>
      </c>
      <c r="HI4" s="155" t="s">
        <v>408</v>
      </c>
      <c r="HJ4" s="102" t="s">
        <v>12</v>
      </c>
      <c r="HK4" s="5" t="s">
        <v>28</v>
      </c>
      <c r="HL4" s="102"/>
      <c r="HM4" s="102" t="s">
        <v>7</v>
      </c>
      <c r="HN4" s="155" t="s">
        <v>412</v>
      </c>
      <c r="HO4" s="102" t="s">
        <v>12</v>
      </c>
      <c r="HP4" s="5" t="s">
        <v>28</v>
      </c>
      <c r="HQ4" s="102"/>
      <c r="HR4" s="102" t="s">
        <v>7</v>
      </c>
      <c r="HS4" s="155" t="s">
        <v>417</v>
      </c>
      <c r="HT4" s="102" t="s">
        <v>12</v>
      </c>
      <c r="HU4" s="5" t="s">
        <v>28</v>
      </c>
      <c r="HV4" s="102"/>
      <c r="HW4" s="102" t="s">
        <v>7</v>
      </c>
      <c r="HX4" s="155" t="s">
        <v>422</v>
      </c>
      <c r="HY4" s="102" t="s">
        <v>12</v>
      </c>
      <c r="HZ4" s="5" t="s">
        <v>28</v>
      </c>
      <c r="IA4" s="102"/>
      <c r="IB4" s="102" t="s">
        <v>7</v>
      </c>
      <c r="IC4" s="155" t="s">
        <v>426</v>
      </c>
      <c r="ID4" s="102" t="s">
        <v>12</v>
      </c>
      <c r="IE4" s="5" t="s">
        <v>28</v>
      </c>
      <c r="IF4" s="102"/>
      <c r="IG4" s="102" t="s">
        <v>7</v>
      </c>
      <c r="IH4" s="155" t="s">
        <v>432</v>
      </c>
      <c r="II4" s="102" t="s">
        <v>12</v>
      </c>
      <c r="IJ4" s="5" t="s">
        <v>28</v>
      </c>
      <c r="IK4" s="102"/>
      <c r="IL4" s="102" t="s">
        <v>7</v>
      </c>
      <c r="IM4" s="155" t="s">
        <v>434</v>
      </c>
      <c r="IN4" s="102" t="s">
        <v>12</v>
      </c>
      <c r="IO4" s="5" t="s">
        <v>28</v>
      </c>
      <c r="IP4" s="102"/>
      <c r="IQ4" s="102" t="s">
        <v>7</v>
      </c>
      <c r="IR4" s="155" t="s">
        <v>434</v>
      </c>
    </row>
    <row r="5" spans="4:249" ht="12.75">
      <c r="D5" s="2"/>
      <c r="I5" s="2"/>
      <c r="N5" s="2"/>
      <c r="S5" s="2"/>
      <c r="X5" s="2"/>
      <c r="AC5" s="2"/>
      <c r="AH5" s="2"/>
      <c r="AM5" s="2"/>
      <c r="AR5" s="2"/>
      <c r="AW5" s="2"/>
      <c r="BB5" s="2"/>
      <c r="BG5" s="2"/>
      <c r="BL5" s="2"/>
      <c r="BQ5" s="2"/>
      <c r="BV5" s="2"/>
      <c r="CA5" s="2"/>
      <c r="CF5" s="2"/>
      <c r="CK5" s="2"/>
      <c r="CP5" s="2"/>
      <c r="CU5" s="2"/>
      <c r="CZ5" s="2"/>
      <c r="DE5" s="2"/>
      <c r="DJ5" s="2"/>
      <c r="DO5" s="2"/>
      <c r="DT5" s="2"/>
      <c r="DY5" s="2"/>
      <c r="ED5" s="2"/>
      <c r="EI5" s="2"/>
      <c r="EN5" s="2"/>
      <c r="ES5" s="2"/>
      <c r="EX5" s="2"/>
      <c r="FC5" s="2"/>
      <c r="FH5" s="2"/>
      <c r="FM5" s="2"/>
      <c r="FR5" s="2"/>
      <c r="FW5" s="2"/>
      <c r="GB5" s="2"/>
      <c r="GG5" s="2"/>
      <c r="GL5" s="2"/>
      <c r="GQ5" s="2"/>
      <c r="GV5" s="2"/>
      <c r="HA5" s="2"/>
      <c r="HF5" s="2"/>
      <c r="HK5" s="2"/>
      <c r="HP5" s="2"/>
      <c r="HU5" s="2"/>
      <c r="HZ5" s="2"/>
      <c r="IE5" s="2"/>
      <c r="IJ5" s="2"/>
      <c r="IO5" s="2"/>
    </row>
    <row r="6" spans="1:252" ht="12.75">
      <c r="A6" t="s">
        <v>195</v>
      </c>
      <c r="B6" s="103">
        <v>7995962.329999996</v>
      </c>
      <c r="D6" s="2"/>
      <c r="E6" s="99">
        <v>0</v>
      </c>
      <c r="F6" s="99">
        <v>-4438451</v>
      </c>
      <c r="G6" s="103">
        <f>SUM(B6:F6)</f>
        <v>3557511.3299999963</v>
      </c>
      <c r="I6" s="2"/>
      <c r="J6" s="99">
        <v>0</v>
      </c>
      <c r="K6" s="99">
        <v>-1890432.66</v>
      </c>
      <c r="L6" s="103">
        <f>SUM(G6:K6)</f>
        <v>1667078.6699999964</v>
      </c>
      <c r="N6" s="2"/>
      <c r="O6" s="99">
        <v>0</v>
      </c>
      <c r="P6" s="99">
        <v>1566561.29</v>
      </c>
      <c r="Q6" s="103">
        <f>SUM(L6:P6)</f>
        <v>3233639.9599999962</v>
      </c>
      <c r="S6" s="2"/>
      <c r="T6" s="99">
        <v>0</v>
      </c>
      <c r="U6" s="99">
        <v>-9313.34</v>
      </c>
      <c r="V6" s="103">
        <f>SUM(Q6:U6)</f>
        <v>3224326.6199999964</v>
      </c>
      <c r="X6" s="2"/>
      <c r="Y6" s="99">
        <v>0</v>
      </c>
      <c r="Z6" s="99">
        <v>-107921</v>
      </c>
      <c r="AA6" s="103">
        <f>SUM(V6:Z6)</f>
        <v>3116405.6199999964</v>
      </c>
      <c r="AC6" s="2"/>
      <c r="AD6" s="99">
        <v>0</v>
      </c>
      <c r="AE6" s="99">
        <v>-558532.48</v>
      </c>
      <c r="AF6" s="103">
        <f>SUM(AA6:AE6)</f>
        <v>2557873.1399999964</v>
      </c>
      <c r="AH6" s="2"/>
      <c r="AI6" s="99">
        <v>0</v>
      </c>
      <c r="AJ6" s="99">
        <v>-1187994.12</v>
      </c>
      <c r="AK6" s="103">
        <f>SUM(AF6:AJ6)</f>
        <v>1369879.0199999963</v>
      </c>
      <c r="AM6" s="2"/>
      <c r="AN6" s="99">
        <v>0</v>
      </c>
      <c r="AO6" s="99">
        <v>-3764397.81</v>
      </c>
      <c r="AP6" s="103">
        <f>SUM(AK6:AO6)</f>
        <v>-2394518.7900000038</v>
      </c>
      <c r="AR6" s="2"/>
      <c r="AS6" s="99">
        <v>51000000</v>
      </c>
      <c r="AT6" s="99">
        <v>-8103499.3</v>
      </c>
      <c r="AU6" s="103">
        <v>43420847.96</v>
      </c>
      <c r="AW6" s="2"/>
      <c r="AX6" s="99">
        <v>0</v>
      </c>
      <c r="AY6" s="99">
        <v>-3285863.07</v>
      </c>
      <c r="AZ6" s="103">
        <f>SUM(AU6:AY6)</f>
        <v>40134984.89</v>
      </c>
      <c r="BB6" s="2"/>
      <c r="BC6" s="99">
        <v>0</v>
      </c>
      <c r="BD6" s="99">
        <v>-2457972.68</v>
      </c>
      <c r="BE6" s="103">
        <f>SUM(AZ6:BD6)</f>
        <v>37677012.21</v>
      </c>
      <c r="BG6" s="2"/>
      <c r="BH6" s="99">
        <v>0</v>
      </c>
      <c r="BI6" s="99">
        <v>-3176257.58</v>
      </c>
      <c r="BJ6" s="103">
        <f>SUM(BE6:BI6)</f>
        <v>34500754.63</v>
      </c>
      <c r="BL6" s="2"/>
      <c r="BM6" s="99">
        <v>0</v>
      </c>
      <c r="BN6" s="99">
        <v>-3149148.51</v>
      </c>
      <c r="BO6" s="103">
        <f>SUM(BJ6:BN6)</f>
        <v>31351606.120000005</v>
      </c>
      <c r="BQ6" s="2"/>
      <c r="BR6" s="99">
        <v>0</v>
      </c>
      <c r="BS6" s="99">
        <v>-5517237.56</v>
      </c>
      <c r="BT6" s="103">
        <f>SUM(BO6:BS6)</f>
        <v>25834368.560000006</v>
      </c>
      <c r="BV6" s="2"/>
      <c r="BW6" s="99">
        <v>0</v>
      </c>
      <c r="BX6" s="99">
        <v>-5241715.56</v>
      </c>
      <c r="BY6" s="103">
        <f>SUM(BT6:BX6)</f>
        <v>20592653.000000007</v>
      </c>
      <c r="CA6" s="2"/>
      <c r="CB6" s="99">
        <v>0</v>
      </c>
      <c r="CC6" s="99">
        <v>-567999.72</v>
      </c>
      <c r="CD6" s="103">
        <f>SUM(BY6:CC6)</f>
        <v>20024653.28000001</v>
      </c>
      <c r="CF6" s="2"/>
      <c r="CG6" s="99">
        <v>0</v>
      </c>
      <c r="CH6" s="99">
        <v>12848115.39</v>
      </c>
      <c r="CI6" s="103">
        <f>SUM(CD6:CH6)</f>
        <v>32872768.67000001</v>
      </c>
      <c r="CK6" s="2"/>
      <c r="CL6" s="99">
        <v>0</v>
      </c>
      <c r="CM6" s="99">
        <v>-4310969.58</v>
      </c>
      <c r="CN6" s="103">
        <f>SUM(CI6:CM6)</f>
        <v>28561799.09000001</v>
      </c>
      <c r="CP6" s="2"/>
      <c r="CQ6" s="99">
        <v>0</v>
      </c>
      <c r="CR6" s="99">
        <v>-2330180.9</v>
      </c>
      <c r="CS6" s="103">
        <f>SUM(CN6:CR6)</f>
        <v>26231618.190000013</v>
      </c>
      <c r="CU6" s="2"/>
      <c r="CV6" s="99">
        <v>0</v>
      </c>
      <c r="CW6" s="99">
        <v>-3751024.58</v>
      </c>
      <c r="CX6" s="103">
        <f>SUM(CS6:CW6)</f>
        <v>22480593.610000014</v>
      </c>
      <c r="CZ6" s="2"/>
      <c r="DA6" s="99">
        <v>0</v>
      </c>
      <c r="DB6" s="99">
        <v>-2434483.86</v>
      </c>
      <c r="DC6" s="103">
        <f>SUM(CX6:DB6)</f>
        <v>20046109.750000015</v>
      </c>
      <c r="DD6" s="99">
        <f>-387225.69-660071.62</f>
        <v>-1047297.31</v>
      </c>
      <c r="DE6" s="2"/>
      <c r="DF6" s="99">
        <v>0</v>
      </c>
      <c r="DG6" s="99">
        <v>0</v>
      </c>
      <c r="DH6" s="103">
        <f>SUM(DC6:DG6)</f>
        <v>18998812.440000016</v>
      </c>
      <c r="DI6" s="99">
        <v>0</v>
      </c>
      <c r="DJ6" s="2"/>
      <c r="DK6" s="99">
        <v>0</v>
      </c>
      <c r="DL6" s="99">
        <v>-117651.01</v>
      </c>
      <c r="DM6" s="103">
        <f>SUM(DH6:DL6)</f>
        <v>18881161.430000015</v>
      </c>
      <c r="DN6" s="99">
        <v>0</v>
      </c>
      <c r="DO6" s="2"/>
      <c r="DP6" s="99">
        <v>0</v>
      </c>
      <c r="DQ6" s="99">
        <v>0</v>
      </c>
      <c r="DR6" s="103">
        <f>SUM(DM6:DQ6)</f>
        <v>18881161.430000015</v>
      </c>
      <c r="DS6" s="99">
        <v>0</v>
      </c>
      <c r="DT6" s="2"/>
      <c r="DU6" s="99">
        <v>0</v>
      </c>
      <c r="DV6" s="99">
        <v>-176710</v>
      </c>
      <c r="DW6" s="103">
        <f>SUM(DR6:DV6)</f>
        <v>18704451.430000015</v>
      </c>
      <c r="DX6" s="99">
        <v>0</v>
      </c>
      <c r="DY6" s="2"/>
      <c r="DZ6" s="99">
        <v>0</v>
      </c>
      <c r="EA6" s="99">
        <v>-307079.91</v>
      </c>
      <c r="EB6" s="103">
        <f>SUM(DW6:EA6)</f>
        <v>18397371.520000014</v>
      </c>
      <c r="EC6" s="99">
        <v>0</v>
      </c>
      <c r="ED6" s="2"/>
      <c r="EE6" s="99">
        <v>0</v>
      </c>
      <c r="EF6" s="99">
        <v>-150067.3</v>
      </c>
      <c r="EG6" s="103">
        <f>SUM(EB6:EF6)</f>
        <v>18247304.220000014</v>
      </c>
      <c r="EH6" s="99">
        <v>0</v>
      </c>
      <c r="EI6" s="2"/>
      <c r="EJ6" s="99">
        <v>0</v>
      </c>
      <c r="EK6" s="99">
        <v>-8803</v>
      </c>
      <c r="EL6" s="103">
        <f>SUM(EG6:EK6)</f>
        <v>18238501.220000014</v>
      </c>
      <c r="EM6" s="99">
        <v>0</v>
      </c>
      <c r="EN6" s="2"/>
      <c r="EO6" s="99">
        <v>0</v>
      </c>
      <c r="EP6" s="99">
        <v>-127612.84</v>
      </c>
      <c r="EQ6" s="103">
        <f>SUM(EL6:EP6)</f>
        <v>18110888.380000014</v>
      </c>
      <c r="ER6" s="99">
        <v>0</v>
      </c>
      <c r="ES6" s="2"/>
      <c r="ET6" s="99">
        <v>0</v>
      </c>
      <c r="EU6" s="99">
        <v>-19746.56</v>
      </c>
      <c r="EV6" s="103">
        <f>SUM(EQ6:EU6)</f>
        <v>18091141.820000015</v>
      </c>
      <c r="EW6" s="99">
        <v>0</v>
      </c>
      <c r="EX6" s="2"/>
      <c r="EY6" s="99">
        <v>0</v>
      </c>
      <c r="EZ6" s="99">
        <v>-99065.72</v>
      </c>
      <c r="FA6" s="103">
        <f>SUM(EV6:EZ6)</f>
        <v>17992076.100000016</v>
      </c>
      <c r="FB6" s="99">
        <v>0</v>
      </c>
      <c r="FC6" s="2"/>
      <c r="FD6" s="99">
        <v>0</v>
      </c>
      <c r="FE6" s="99">
        <v>-64057.61</v>
      </c>
      <c r="FF6" s="103">
        <f>SUM(FA6:FE6)</f>
        <v>17928018.490000017</v>
      </c>
      <c r="FG6" s="99">
        <v>0</v>
      </c>
      <c r="FH6" s="2"/>
      <c r="FI6" s="99">
        <v>0</v>
      </c>
      <c r="FJ6" s="99">
        <v>-1498104.91</v>
      </c>
      <c r="FK6" s="103">
        <f>SUM(FF6:FJ6)</f>
        <v>16429913.580000017</v>
      </c>
      <c r="FL6" s="99">
        <v>0</v>
      </c>
      <c r="FM6" s="2"/>
      <c r="FN6" s="99">
        <v>0</v>
      </c>
      <c r="FO6" s="99">
        <v>0</v>
      </c>
      <c r="FP6" s="103">
        <f>SUM(FK6:FO6)</f>
        <v>16429913.580000017</v>
      </c>
      <c r="FQ6" s="99">
        <v>0</v>
      </c>
      <c r="FR6" s="2"/>
      <c r="FS6" s="99">
        <v>0</v>
      </c>
      <c r="FT6" s="99">
        <v>-2604390.21</v>
      </c>
      <c r="FU6" s="103">
        <f>FP15+FT6</f>
        <v>14172945.160000015</v>
      </c>
      <c r="FV6" s="99">
        <v>0</v>
      </c>
      <c r="FW6" s="2"/>
      <c r="FX6" s="99">
        <v>0</v>
      </c>
      <c r="FY6" s="99">
        <v>-2419583.39</v>
      </c>
      <c r="FZ6" s="103">
        <f>SUM(FU6:FY6)</f>
        <v>11753361.770000014</v>
      </c>
      <c r="GA6" s="99">
        <v>0</v>
      </c>
      <c r="GB6" s="2"/>
      <c r="GC6" s="99">
        <v>0</v>
      </c>
      <c r="GD6" s="99">
        <v>-1893940.46</v>
      </c>
      <c r="GE6" s="103">
        <f>SUM(FZ6:GD6)</f>
        <v>9859421.310000014</v>
      </c>
      <c r="GF6" s="99">
        <v>0</v>
      </c>
      <c r="GG6" s="2"/>
      <c r="GH6" s="99">
        <v>0</v>
      </c>
      <c r="GI6" s="99">
        <v>-2903021.27</v>
      </c>
      <c r="GJ6" s="103">
        <f>SUM(GE6:GI6)</f>
        <v>6956400.040000014</v>
      </c>
      <c r="GK6" s="99">
        <v>0</v>
      </c>
      <c r="GL6" s="2"/>
      <c r="GM6" s="99">
        <v>0</v>
      </c>
      <c r="GN6" s="99">
        <v>-1456303.14</v>
      </c>
      <c r="GO6" s="103">
        <f>SUM(GJ6:GN6)</f>
        <v>5500096.900000014</v>
      </c>
      <c r="GP6" s="99">
        <v>0</v>
      </c>
      <c r="GQ6" s="2"/>
      <c r="GR6" s="99">
        <v>0</v>
      </c>
      <c r="GS6" s="99">
        <v>-625209.54</v>
      </c>
      <c r="GT6" s="103">
        <f>SUM(GO6:GS6)</f>
        <v>4874887.360000014</v>
      </c>
      <c r="GU6" s="99">
        <v>0</v>
      </c>
      <c r="GV6" s="2"/>
      <c r="GW6" s="99">
        <v>0</v>
      </c>
      <c r="GX6" s="99">
        <v>-467202.66</v>
      </c>
      <c r="GY6" s="103">
        <f>SUM(GT6:GX6)</f>
        <v>4407684.700000014</v>
      </c>
      <c r="GZ6" s="99">
        <v>0</v>
      </c>
      <c r="HA6" s="2"/>
      <c r="HB6" s="99">
        <v>0</v>
      </c>
      <c r="HC6" s="99">
        <v>358814.46</v>
      </c>
      <c r="HD6" s="103">
        <f>SUM(GY6:HC6)</f>
        <v>4766499.160000014</v>
      </c>
      <c r="HE6" s="99">
        <v>0</v>
      </c>
      <c r="HF6" s="2"/>
      <c r="HG6" s="99">
        <v>0</v>
      </c>
      <c r="HH6" s="99">
        <v>-2590088.21</v>
      </c>
      <c r="HI6" s="103">
        <f>SUM(HD6:HH6)</f>
        <v>2176410.950000014</v>
      </c>
      <c r="HJ6" s="99">
        <v>0</v>
      </c>
      <c r="HK6" s="2"/>
      <c r="HL6" s="99">
        <v>0</v>
      </c>
      <c r="HM6" s="99">
        <v>-3427900.9</v>
      </c>
      <c r="HN6" s="103">
        <f>SUM(HI6:HM6)</f>
        <v>-1251489.9499999858</v>
      </c>
      <c r="HO6" s="99">
        <v>0</v>
      </c>
      <c r="HP6" s="2"/>
      <c r="HQ6" s="99">
        <v>60000000</v>
      </c>
      <c r="HR6" s="99">
        <v>-1716175.41</v>
      </c>
      <c r="HS6" s="103">
        <f>SUM(HN6:HR6)</f>
        <v>57032334.640000015</v>
      </c>
      <c r="HT6" s="99">
        <v>0</v>
      </c>
      <c r="HU6" s="2"/>
      <c r="HV6" s="99">
        <v>0</v>
      </c>
      <c r="HW6" s="99">
        <f>-6900742.19+3348887.68</f>
        <v>-3551854.5100000002</v>
      </c>
      <c r="HX6" s="103">
        <f>SUM(HS6:HW6)</f>
        <v>53480480.13000002</v>
      </c>
      <c r="HY6" s="99">
        <v>0</v>
      </c>
      <c r="HZ6" s="2"/>
      <c r="IA6" s="99">
        <v>0</v>
      </c>
      <c r="IB6" s="99">
        <v>-1163652.94</v>
      </c>
      <c r="IC6" s="103">
        <f>SUM(HX6:IB6)</f>
        <v>52316827.19000002</v>
      </c>
      <c r="ID6" s="99">
        <v>0</v>
      </c>
      <c r="IE6" s="2"/>
      <c r="IF6" s="99">
        <v>0</v>
      </c>
      <c r="IG6" s="99">
        <v>-2423654.61</v>
      </c>
      <c r="IH6" s="103">
        <f>SUM(IC6:IG6)</f>
        <v>49893172.58000002</v>
      </c>
      <c r="II6" s="99">
        <v>0</v>
      </c>
      <c r="IJ6" s="2"/>
      <c r="IK6" s="99">
        <v>0</v>
      </c>
      <c r="IL6" s="99">
        <v>-827812.72</v>
      </c>
      <c r="IM6" s="103">
        <f>SUM(IH6:IL6)</f>
        <v>49065359.86000002</v>
      </c>
      <c r="IN6" s="99">
        <v>0</v>
      </c>
      <c r="IO6" s="2"/>
      <c r="IP6" s="99">
        <v>0</v>
      </c>
      <c r="IQ6" s="99">
        <v>-1182616.53</v>
      </c>
      <c r="IR6" s="103">
        <f>SUM(IM6:IQ6)</f>
        <v>47882743.33000002</v>
      </c>
    </row>
    <row r="7" spans="1:252" ht="12.75">
      <c r="A7" t="s">
        <v>200</v>
      </c>
      <c r="B7" s="99">
        <v>0</v>
      </c>
      <c r="D7" s="2"/>
      <c r="F7" s="99">
        <v>0</v>
      </c>
      <c r="G7" s="99">
        <f>+B7+C7-F7</f>
        <v>0</v>
      </c>
      <c r="I7" s="2"/>
      <c r="K7" s="99">
        <v>0</v>
      </c>
      <c r="L7" s="99">
        <f>+G7+H7-K7</f>
        <v>0</v>
      </c>
      <c r="N7" s="2"/>
      <c r="P7" s="99">
        <v>0</v>
      </c>
      <c r="Q7" s="99">
        <f>+L7+M7-P7</f>
        <v>0</v>
      </c>
      <c r="S7" s="2"/>
      <c r="U7" s="99">
        <v>0</v>
      </c>
      <c r="V7" s="99">
        <f>+Q7+R7-U7</f>
        <v>0</v>
      </c>
      <c r="X7" s="2"/>
      <c r="Z7" s="99">
        <v>0</v>
      </c>
      <c r="AA7" s="99">
        <f>+V7+W7-Z7</f>
        <v>0</v>
      </c>
      <c r="AC7" s="2"/>
      <c r="AE7" s="99">
        <v>0</v>
      </c>
      <c r="AF7" s="99">
        <f>+AA7+AB7-AE7</f>
        <v>0</v>
      </c>
      <c r="AH7" s="2"/>
      <c r="AK7" s="99">
        <f>+AF7+AG7-AJ7</f>
        <v>0</v>
      </c>
      <c r="AM7" s="2"/>
      <c r="AP7" s="99">
        <f>+AK7+AL7-AO7</f>
        <v>0</v>
      </c>
      <c r="AR7" s="2"/>
      <c r="AU7" s="99">
        <f>+AP7+AQ7-AT7</f>
        <v>0</v>
      </c>
      <c r="AW7" s="2"/>
      <c r="AZ7" s="99">
        <f>+AU7+AV7-AY7</f>
        <v>0</v>
      </c>
      <c r="BB7" s="2"/>
      <c r="BE7" s="99">
        <f>+AZ7+BA7-BD7</f>
        <v>0</v>
      </c>
      <c r="BG7" s="2"/>
      <c r="BJ7" s="99">
        <f>+BE7+BF7-BI7</f>
        <v>0</v>
      </c>
      <c r="BL7" s="2"/>
      <c r="BO7" s="99">
        <f>+BJ7+BK7-BN7</f>
        <v>0</v>
      </c>
      <c r="BQ7" s="2"/>
      <c r="BT7" s="99">
        <f>+BO7+BP7-BS7</f>
        <v>0</v>
      </c>
      <c r="BV7" s="2"/>
      <c r="BY7" s="99">
        <f>+BT7+BU7-BX7</f>
        <v>0</v>
      </c>
      <c r="CA7" s="2"/>
      <c r="CD7" s="99">
        <f>+BY7+BZ7-CC7</f>
        <v>0</v>
      </c>
      <c r="CF7" s="2"/>
      <c r="CI7" s="99">
        <f>+CD7+CE7-CH7</f>
        <v>0</v>
      </c>
      <c r="CK7" s="2"/>
      <c r="CN7" s="99">
        <f>+CI7+CJ7-CM7</f>
        <v>0</v>
      </c>
      <c r="CP7" s="2"/>
      <c r="CR7" s="99">
        <v>0</v>
      </c>
      <c r="CS7" s="99">
        <f>+CN7+CO7-CR7</f>
        <v>0</v>
      </c>
      <c r="CU7" s="2"/>
      <c r="CW7" s="99">
        <v>0</v>
      </c>
      <c r="CX7" s="99">
        <f>+CS7+CT7-CW7</f>
        <v>0</v>
      </c>
      <c r="CZ7" s="2"/>
      <c r="DB7" s="99">
        <v>0</v>
      </c>
      <c r="DC7" s="99">
        <f>+CX7+CY7-DB7</f>
        <v>0</v>
      </c>
      <c r="DE7" s="2"/>
      <c r="DG7" s="99">
        <v>0</v>
      </c>
      <c r="DH7" s="99">
        <f>+DC7+DD7-DG7</f>
        <v>0</v>
      </c>
      <c r="DJ7" s="2"/>
      <c r="DL7" s="99">
        <v>0</v>
      </c>
      <c r="DM7" s="99">
        <f>+DH7+DI7-DL7</f>
        <v>0</v>
      </c>
      <c r="DO7" s="2"/>
      <c r="DQ7" s="99">
        <v>0</v>
      </c>
      <c r="DR7" s="99">
        <f>+DM7+DN7-DQ7</f>
        <v>0</v>
      </c>
      <c r="DT7" s="2"/>
      <c r="DV7" s="99">
        <v>0</v>
      </c>
      <c r="DW7" s="99">
        <f>+DR7+DS7-DV7</f>
        <v>0</v>
      </c>
      <c r="DY7" s="2"/>
      <c r="EA7" s="99">
        <v>0</v>
      </c>
      <c r="EB7" s="99">
        <f>+DW7+DX7-EA7</f>
        <v>0</v>
      </c>
      <c r="ED7" s="2"/>
      <c r="EF7" s="99">
        <v>0</v>
      </c>
      <c r="EG7" s="99">
        <f>+EB7+EC7-EF7</f>
        <v>0</v>
      </c>
      <c r="EI7" s="2"/>
      <c r="EK7" s="99">
        <v>0</v>
      </c>
      <c r="EL7" s="99">
        <f>+EG7+EH7-EK7</f>
        <v>0</v>
      </c>
      <c r="EN7" s="2"/>
      <c r="EP7" s="99">
        <v>0</v>
      </c>
      <c r="EQ7" s="99">
        <f>+EL7+EM7-EP7</f>
        <v>0</v>
      </c>
      <c r="ES7" s="2"/>
      <c r="EU7" s="99">
        <v>0</v>
      </c>
      <c r="EV7" s="99">
        <f>+EQ7+ER7-EU7</f>
        <v>0</v>
      </c>
      <c r="EX7" s="2"/>
      <c r="EZ7" s="99">
        <v>0</v>
      </c>
      <c r="FA7" s="99">
        <f>+EV7+EW7-EZ7</f>
        <v>0</v>
      </c>
      <c r="FC7" s="2"/>
      <c r="FE7" s="99">
        <v>0</v>
      </c>
      <c r="FF7" s="99">
        <f>+FA7+FB7-FE7</f>
        <v>0</v>
      </c>
      <c r="FH7" s="2"/>
      <c r="FJ7" s="99">
        <v>0</v>
      </c>
      <c r="FK7" s="99">
        <f>+FF7+FG7-FJ7</f>
        <v>0</v>
      </c>
      <c r="FM7" s="2"/>
      <c r="FO7" s="99">
        <v>0</v>
      </c>
      <c r="FP7" s="99">
        <v>347421.79</v>
      </c>
      <c r="FR7" s="2"/>
      <c r="FT7" s="99">
        <v>0</v>
      </c>
      <c r="FU7" s="99">
        <v>0</v>
      </c>
      <c r="FW7" s="2"/>
      <c r="FY7" s="99">
        <v>0</v>
      </c>
      <c r="FZ7" s="99">
        <f>+FU7+FV7-FY7</f>
        <v>0</v>
      </c>
      <c r="GB7" s="2"/>
      <c r="GD7" s="99">
        <v>0</v>
      </c>
      <c r="GE7" s="99">
        <f>+FZ7+GA7-GD7</f>
        <v>0</v>
      </c>
      <c r="GG7" s="2"/>
      <c r="GI7" s="99">
        <v>0</v>
      </c>
      <c r="GJ7" s="99">
        <f>+GE7+GF7-GI7</f>
        <v>0</v>
      </c>
      <c r="GL7" s="2"/>
      <c r="GN7" s="99">
        <v>0</v>
      </c>
      <c r="GO7" s="99">
        <f>+GJ7+GK7-GN7</f>
        <v>0</v>
      </c>
      <c r="GQ7" s="2"/>
      <c r="GS7" s="99">
        <v>0</v>
      </c>
      <c r="GT7" s="99">
        <f>+GO7+GP7-GS7</f>
        <v>0</v>
      </c>
      <c r="GV7" s="2"/>
      <c r="GX7" s="99">
        <v>0</v>
      </c>
      <c r="GY7" s="99">
        <f>+GT7+GU7-GX7</f>
        <v>0</v>
      </c>
      <c r="HA7" s="2"/>
      <c r="HC7" s="99">
        <v>0</v>
      </c>
      <c r="HD7" s="99">
        <f>+GY7+GZ7-HC7</f>
        <v>0</v>
      </c>
      <c r="HF7" s="2"/>
      <c r="HH7" s="99">
        <v>0</v>
      </c>
      <c r="HI7" s="99">
        <f>+HD7+HE7-HH7</f>
        <v>0</v>
      </c>
      <c r="HK7" s="2"/>
      <c r="HM7" s="99">
        <v>0</v>
      </c>
      <c r="HN7" s="99">
        <f>+HI7+HJ7-HM7</f>
        <v>0</v>
      </c>
      <c r="HP7" s="2"/>
      <c r="HR7" s="99">
        <v>0</v>
      </c>
      <c r="HS7" s="103">
        <f aca="true" t="shared" si="0" ref="HS7:HS12">SUM(HN7:HR7)</f>
        <v>0</v>
      </c>
      <c r="HU7" s="2"/>
      <c r="HW7" s="99">
        <v>0</v>
      </c>
      <c r="HX7" s="103">
        <f aca="true" t="shared" si="1" ref="HX7:HX12">SUM(HS7:HW7)</f>
        <v>0</v>
      </c>
      <c r="HZ7" s="2"/>
      <c r="IB7" s="99">
        <v>0</v>
      </c>
      <c r="IC7" s="103">
        <f aca="true" t="shared" si="2" ref="IC7:IC12">SUM(HX7:IB7)</f>
        <v>0</v>
      </c>
      <c r="IE7" s="2"/>
      <c r="IG7" s="99">
        <v>0</v>
      </c>
      <c r="IH7" s="103">
        <f aca="true" t="shared" si="3" ref="IH7:IH12">SUM(IC7:IG7)</f>
        <v>0</v>
      </c>
      <c r="IJ7" s="2"/>
      <c r="IL7" s="99">
        <v>0</v>
      </c>
      <c r="IM7" s="103">
        <f aca="true" t="shared" si="4" ref="IM7:IM12">SUM(IH7:IL7)</f>
        <v>0</v>
      </c>
      <c r="IO7" s="2"/>
      <c r="IQ7" s="99">
        <v>0</v>
      </c>
      <c r="IR7" s="103">
        <f aca="true" t="shared" si="5" ref="IR7:IR12">SUM(IM7:IQ7)</f>
        <v>0</v>
      </c>
    </row>
    <row r="8" spans="4:252" ht="12.75">
      <c r="D8" s="2"/>
      <c r="I8" s="2"/>
      <c r="N8" s="2"/>
      <c r="S8" s="2"/>
      <c r="X8" s="2"/>
      <c r="AC8" s="2"/>
      <c r="AH8" s="2"/>
      <c r="AM8" s="2"/>
      <c r="AR8" s="2"/>
      <c r="AW8" s="2"/>
      <c r="BB8" s="2"/>
      <c r="BG8" s="2"/>
      <c r="BL8" s="2"/>
      <c r="BQ8" s="2"/>
      <c r="BV8" s="2"/>
      <c r="CA8" s="2"/>
      <c r="CF8" s="2"/>
      <c r="CK8" s="2"/>
      <c r="CP8" s="2"/>
      <c r="CR8" s="99">
        <v>0</v>
      </c>
      <c r="CU8" s="2"/>
      <c r="CW8" s="99">
        <v>0</v>
      </c>
      <c r="CZ8" s="2"/>
      <c r="DB8" s="99">
        <v>0</v>
      </c>
      <c r="DE8" s="2"/>
      <c r="DG8" s="99">
        <v>0</v>
      </c>
      <c r="DJ8" s="2"/>
      <c r="DL8" s="99">
        <v>0</v>
      </c>
      <c r="DO8" s="2"/>
      <c r="DQ8" s="99">
        <v>0</v>
      </c>
      <c r="DT8" s="2"/>
      <c r="DV8" s="99">
        <v>0</v>
      </c>
      <c r="DY8" s="2"/>
      <c r="EA8" s="99">
        <v>0</v>
      </c>
      <c r="ED8" s="2"/>
      <c r="EF8" s="99">
        <v>0</v>
      </c>
      <c r="EI8" s="2"/>
      <c r="EK8" s="99">
        <v>0</v>
      </c>
      <c r="EN8" s="2"/>
      <c r="EP8" s="99">
        <v>0</v>
      </c>
      <c r="ES8" s="2"/>
      <c r="EU8" s="99">
        <v>0</v>
      </c>
      <c r="EX8" s="2"/>
      <c r="EZ8" s="99">
        <v>0</v>
      </c>
      <c r="FC8" s="2"/>
      <c r="FE8" s="99">
        <v>0</v>
      </c>
      <c r="FH8" s="2"/>
      <c r="FJ8" s="99">
        <v>0</v>
      </c>
      <c r="FM8" s="2"/>
      <c r="FO8" s="99">
        <v>0</v>
      </c>
      <c r="FR8" s="2"/>
      <c r="FT8" s="99">
        <v>0</v>
      </c>
      <c r="FW8" s="2"/>
      <c r="FY8" s="99">
        <v>0</v>
      </c>
      <c r="GB8" s="2"/>
      <c r="GD8" s="99">
        <v>0</v>
      </c>
      <c r="GG8" s="2"/>
      <c r="GI8" s="99">
        <v>0</v>
      </c>
      <c r="GL8" s="2"/>
      <c r="GN8" s="99">
        <v>0</v>
      </c>
      <c r="GQ8" s="2"/>
      <c r="GS8" s="99">
        <v>0</v>
      </c>
      <c r="GV8" s="2"/>
      <c r="GX8" s="99">
        <v>0</v>
      </c>
      <c r="HA8" s="2"/>
      <c r="HC8" s="99">
        <v>0</v>
      </c>
      <c r="HF8" s="2"/>
      <c r="HH8" s="99">
        <v>0</v>
      </c>
      <c r="HK8" s="2"/>
      <c r="HM8" s="99">
        <v>0</v>
      </c>
      <c r="HP8" s="2"/>
      <c r="HR8" s="99">
        <v>0</v>
      </c>
      <c r="HS8" s="103">
        <f t="shared" si="0"/>
        <v>0</v>
      </c>
      <c r="HU8" s="2"/>
      <c r="HW8" s="99">
        <v>0</v>
      </c>
      <c r="HX8" s="103">
        <f t="shared" si="1"/>
        <v>0</v>
      </c>
      <c r="HZ8" s="2"/>
      <c r="IB8" s="99">
        <v>0</v>
      </c>
      <c r="IC8" s="103">
        <f t="shared" si="2"/>
        <v>0</v>
      </c>
      <c r="IE8" s="2"/>
      <c r="IG8" s="99">
        <v>0</v>
      </c>
      <c r="IH8" s="103">
        <f t="shared" si="3"/>
        <v>0</v>
      </c>
      <c r="IJ8" s="2"/>
      <c r="IL8" s="99">
        <v>0</v>
      </c>
      <c r="IM8" s="103">
        <f t="shared" si="4"/>
        <v>0</v>
      </c>
      <c r="IO8" s="2"/>
      <c r="IQ8" s="99">
        <v>0</v>
      </c>
      <c r="IR8" s="103">
        <f t="shared" si="5"/>
        <v>0</v>
      </c>
    </row>
    <row r="9" spans="1:252" ht="12.75">
      <c r="A9" t="s">
        <v>8</v>
      </c>
      <c r="B9" s="17">
        <v>0</v>
      </c>
      <c r="D9" s="2"/>
      <c r="G9" s="17">
        <f>SUM(B9:F9)</f>
        <v>0</v>
      </c>
      <c r="I9" s="2"/>
      <c r="L9" s="17">
        <f>SUM(G9:K9)</f>
        <v>0</v>
      </c>
      <c r="N9" s="2"/>
      <c r="Q9" s="17">
        <f>SUM(L9:P9)</f>
        <v>0</v>
      </c>
      <c r="S9" s="2"/>
      <c r="V9" s="17">
        <f>SUM(Q9:U9)</f>
        <v>0</v>
      </c>
      <c r="X9" s="2"/>
      <c r="AA9" s="17">
        <f>SUM(V9:Z9)</f>
        <v>0</v>
      </c>
      <c r="AC9" s="2"/>
      <c r="AF9" s="17">
        <f>SUM(AA9:AE9)</f>
        <v>0</v>
      </c>
      <c r="AH9" s="2"/>
      <c r="AK9" s="17">
        <f>SUM(AF9:AJ9)</f>
        <v>0</v>
      </c>
      <c r="AM9" s="2"/>
      <c r="AP9" s="17">
        <f>SUM(AK9:AO9)</f>
        <v>0</v>
      </c>
      <c r="AR9" s="2"/>
      <c r="AU9" s="17">
        <f>SUM(AP9:AT9)</f>
        <v>0</v>
      </c>
      <c r="AW9" s="2"/>
      <c r="AZ9" s="17">
        <f>SUM(AU9:AY9)</f>
        <v>0</v>
      </c>
      <c r="BB9" s="2"/>
      <c r="BE9" s="17">
        <f>SUM(AZ9:BD9)</f>
        <v>0</v>
      </c>
      <c r="BG9" s="2"/>
      <c r="BJ9" s="17">
        <f>SUM(BE9:BI9)</f>
        <v>0</v>
      </c>
      <c r="BL9" s="2"/>
      <c r="BO9" s="17">
        <f>SUM(BJ9:BN9)</f>
        <v>0</v>
      </c>
      <c r="BQ9" s="2"/>
      <c r="BT9" s="17">
        <f>SUM(BO9:BS9)</f>
        <v>0</v>
      </c>
      <c r="BV9" s="2"/>
      <c r="BY9" s="17">
        <f>SUM(BT9:BX9)</f>
        <v>0</v>
      </c>
      <c r="CA9" s="2"/>
      <c r="CD9" s="17">
        <f>SUM(BY9:CC9)</f>
        <v>0</v>
      </c>
      <c r="CF9" s="2"/>
      <c r="CI9" s="17">
        <f>SUM(CD9:CH9)</f>
        <v>0</v>
      </c>
      <c r="CK9" s="2"/>
      <c r="CN9" s="17">
        <f>SUM(CI9:CM9)</f>
        <v>0</v>
      </c>
      <c r="CP9" s="2"/>
      <c r="CS9" s="17">
        <f>SUM(CN9:CR9)</f>
        <v>0</v>
      </c>
      <c r="CU9" s="2"/>
      <c r="CX9" s="17">
        <f>SUM(CS9:CW9)</f>
        <v>0</v>
      </c>
      <c r="CZ9" s="2"/>
      <c r="DC9" s="17">
        <f>SUM(CX9:DB9)</f>
        <v>0</v>
      </c>
      <c r="DE9" s="2"/>
      <c r="DH9" s="17">
        <f>SUM(DC9:DG9)</f>
        <v>0</v>
      </c>
      <c r="DJ9" s="2"/>
      <c r="DM9" s="17">
        <f>SUM(DH9:DL9)</f>
        <v>0</v>
      </c>
      <c r="DO9" s="2"/>
      <c r="DR9" s="17">
        <f>SUM(DM9:DQ9)</f>
        <v>0</v>
      </c>
      <c r="DT9" s="2"/>
      <c r="DW9" s="17">
        <f>SUM(DR9:DV9)</f>
        <v>0</v>
      </c>
      <c r="DY9" s="2"/>
      <c r="EB9" s="17">
        <f>SUM(DW9:EA9)</f>
        <v>0</v>
      </c>
      <c r="ED9" s="2"/>
      <c r="EG9" s="17">
        <f>SUM(EB9:EF9)</f>
        <v>0</v>
      </c>
      <c r="EI9" s="2"/>
      <c r="EL9" s="17">
        <f>SUM(EG9:EK9)</f>
        <v>0</v>
      </c>
      <c r="EN9" s="2"/>
      <c r="EQ9" s="17">
        <f>SUM(EL9:EP9)</f>
        <v>0</v>
      </c>
      <c r="ES9" s="2"/>
      <c r="EV9" s="17">
        <f>SUM(EQ9:EU9)</f>
        <v>0</v>
      </c>
      <c r="EX9" s="2"/>
      <c r="FA9" s="17">
        <f>SUM(EV9:EZ9)</f>
        <v>0</v>
      </c>
      <c r="FC9" s="2"/>
      <c r="FF9" s="17">
        <f>SUM(FA9:FE9)</f>
        <v>0</v>
      </c>
      <c r="FH9" s="2"/>
      <c r="FK9" s="17">
        <f>SUM(FF9:FJ9)</f>
        <v>0</v>
      </c>
      <c r="FM9" s="2"/>
      <c r="FP9" s="17">
        <f>SUM(FK9:FO9)</f>
        <v>0</v>
      </c>
      <c r="FR9" s="2"/>
      <c r="FU9" s="17">
        <f>SUM(FP9:FT9)</f>
        <v>0</v>
      </c>
      <c r="FW9" s="2"/>
      <c r="FZ9" s="17">
        <f>SUM(FU9:FY9)</f>
        <v>0</v>
      </c>
      <c r="GB9" s="2"/>
      <c r="GE9" s="17">
        <f>SUM(FZ9:GD9)</f>
        <v>0</v>
      </c>
      <c r="GG9" s="2"/>
      <c r="GJ9" s="17">
        <f>SUM(GE9:GI9)</f>
        <v>0</v>
      </c>
      <c r="GL9" s="2"/>
      <c r="GO9" s="17">
        <f>SUM(GJ9:GN9)</f>
        <v>0</v>
      </c>
      <c r="GQ9" s="2"/>
      <c r="GT9" s="17">
        <f>SUM(GO9:GS9)</f>
        <v>0</v>
      </c>
      <c r="GV9" s="2"/>
      <c r="GY9" s="17">
        <f>SUM(GT9:GX9)</f>
        <v>0</v>
      </c>
      <c r="HA9" s="2"/>
      <c r="HD9" s="17">
        <f>SUM(GY9:HC9)</f>
        <v>0</v>
      </c>
      <c r="HF9" s="2"/>
      <c r="HI9" s="17">
        <f>SUM(HD9:HH9)</f>
        <v>0</v>
      </c>
      <c r="HK9" s="2"/>
      <c r="HN9" s="17">
        <f>SUM(HI9:HM9)</f>
        <v>0</v>
      </c>
      <c r="HP9" s="2"/>
      <c r="HS9" s="103">
        <f t="shared" si="0"/>
        <v>0</v>
      </c>
      <c r="HU9" s="2"/>
      <c r="HX9" s="103">
        <f t="shared" si="1"/>
        <v>0</v>
      </c>
      <c r="HZ9" s="2"/>
      <c r="IC9" s="103">
        <f t="shared" si="2"/>
        <v>0</v>
      </c>
      <c r="IE9" s="2"/>
      <c r="IH9" s="103">
        <f t="shared" si="3"/>
        <v>0</v>
      </c>
      <c r="IJ9" s="2"/>
      <c r="IM9" s="103">
        <f t="shared" si="4"/>
        <v>0</v>
      </c>
      <c r="IO9" s="2"/>
      <c r="IR9" s="103">
        <f t="shared" si="5"/>
        <v>0</v>
      </c>
    </row>
    <row r="10" spans="4:252" ht="12.75">
      <c r="D10" s="2"/>
      <c r="I10" s="2"/>
      <c r="N10" s="2"/>
      <c r="S10" s="2"/>
      <c r="X10" s="2"/>
      <c r="AC10" s="2"/>
      <c r="AH10" s="2"/>
      <c r="AM10" s="2"/>
      <c r="AR10" s="2"/>
      <c r="AW10" s="2"/>
      <c r="BB10" s="2"/>
      <c r="BG10" s="2"/>
      <c r="BL10" s="2"/>
      <c r="BQ10" s="2"/>
      <c r="BV10" s="2"/>
      <c r="CA10" s="2"/>
      <c r="CF10" s="2"/>
      <c r="CK10" s="2"/>
      <c r="CP10" s="2"/>
      <c r="CU10" s="2"/>
      <c r="CZ10" s="2"/>
      <c r="DE10" s="2"/>
      <c r="DJ10" s="2"/>
      <c r="DO10" s="2"/>
      <c r="DT10" s="2"/>
      <c r="DY10" s="2"/>
      <c r="ED10" s="2"/>
      <c r="EI10" s="2"/>
      <c r="EN10" s="2"/>
      <c r="ES10" s="2"/>
      <c r="EX10" s="2"/>
      <c r="FC10" s="2"/>
      <c r="FH10" s="2"/>
      <c r="FM10" s="2"/>
      <c r="FR10" s="2"/>
      <c r="FW10" s="2"/>
      <c r="GB10" s="2"/>
      <c r="GG10" s="2"/>
      <c r="GL10" s="2"/>
      <c r="GQ10" s="2"/>
      <c r="GV10" s="2"/>
      <c r="HA10" s="2"/>
      <c r="HF10" s="2"/>
      <c r="HK10" s="2"/>
      <c r="HP10" s="2"/>
      <c r="HS10" s="103">
        <f t="shared" si="0"/>
        <v>0</v>
      </c>
      <c r="HU10" s="2"/>
      <c r="HX10" s="103">
        <f t="shared" si="1"/>
        <v>0</v>
      </c>
      <c r="HZ10" s="2"/>
      <c r="IC10" s="103">
        <f t="shared" si="2"/>
        <v>0</v>
      </c>
      <c r="IE10" s="2"/>
      <c r="IH10" s="103">
        <f t="shared" si="3"/>
        <v>0</v>
      </c>
      <c r="IJ10" s="2"/>
      <c r="IM10" s="103">
        <f t="shared" si="4"/>
        <v>0</v>
      </c>
      <c r="IO10" s="2"/>
      <c r="IR10" s="103">
        <f t="shared" si="5"/>
        <v>0</v>
      </c>
    </row>
    <row r="11" spans="1:252" ht="12.75">
      <c r="A11" t="s">
        <v>26</v>
      </c>
      <c r="B11" s="104">
        <v>0</v>
      </c>
      <c r="C11" s="99">
        <v>0</v>
      </c>
      <c r="D11" s="2"/>
      <c r="E11" s="106">
        <v>0</v>
      </c>
      <c r="G11" s="104">
        <v>0</v>
      </c>
      <c r="H11" s="99">
        <v>0</v>
      </c>
      <c r="I11" s="2"/>
      <c r="J11" s="106">
        <v>0</v>
      </c>
      <c r="L11" s="104">
        <v>0</v>
      </c>
      <c r="M11" s="99">
        <v>0</v>
      </c>
      <c r="N11" s="2"/>
      <c r="O11" s="106">
        <v>0</v>
      </c>
      <c r="Q11" s="104">
        <v>0</v>
      </c>
      <c r="R11" s="99">
        <v>0</v>
      </c>
      <c r="S11" s="2"/>
      <c r="T11" s="106">
        <v>0</v>
      </c>
      <c r="V11" s="104">
        <v>0</v>
      </c>
      <c r="W11" s="99">
        <v>0</v>
      </c>
      <c r="X11" s="2"/>
      <c r="Y11" s="106">
        <v>0</v>
      </c>
      <c r="AA11" s="104">
        <v>0</v>
      </c>
      <c r="AB11" s="99">
        <v>0</v>
      </c>
      <c r="AC11" s="2"/>
      <c r="AD11" s="106">
        <v>0</v>
      </c>
      <c r="AF11" s="104">
        <v>0</v>
      </c>
      <c r="AG11" s="99">
        <v>0</v>
      </c>
      <c r="AH11" s="2"/>
      <c r="AI11" s="106">
        <v>0</v>
      </c>
      <c r="AK11" s="104">
        <v>0</v>
      </c>
      <c r="AL11" s="99">
        <v>0</v>
      </c>
      <c r="AM11" s="2"/>
      <c r="AN11" s="106">
        <v>0</v>
      </c>
      <c r="AP11" s="104">
        <v>0</v>
      </c>
      <c r="AQ11" s="99">
        <v>0</v>
      </c>
      <c r="AR11" s="2"/>
      <c r="AS11" s="106">
        <v>0</v>
      </c>
      <c r="AU11" s="104">
        <v>0</v>
      </c>
      <c r="AV11" s="99">
        <v>0</v>
      </c>
      <c r="AW11" s="2"/>
      <c r="AX11" s="106">
        <v>0</v>
      </c>
      <c r="AZ11" s="104">
        <v>0</v>
      </c>
      <c r="BA11" s="99">
        <v>0</v>
      </c>
      <c r="BB11" s="2"/>
      <c r="BC11" s="106">
        <v>0</v>
      </c>
      <c r="BE11" s="104">
        <v>0</v>
      </c>
      <c r="BF11" s="99">
        <v>0</v>
      </c>
      <c r="BG11" s="2"/>
      <c r="BH11" s="106">
        <v>0</v>
      </c>
      <c r="BJ11" s="104">
        <v>0</v>
      </c>
      <c r="BK11" s="99">
        <v>0</v>
      </c>
      <c r="BL11" s="2"/>
      <c r="BM11" s="106">
        <v>0</v>
      </c>
      <c r="BO11" s="104">
        <v>0</v>
      </c>
      <c r="BP11" s="99">
        <v>0</v>
      </c>
      <c r="BQ11" s="2"/>
      <c r="BR11" s="106">
        <v>0</v>
      </c>
      <c r="BT11" s="104">
        <v>0</v>
      </c>
      <c r="BU11" s="99">
        <v>0</v>
      </c>
      <c r="BV11" s="2"/>
      <c r="BW11" s="106">
        <v>0</v>
      </c>
      <c r="BY11" s="104">
        <v>0</v>
      </c>
      <c r="BZ11" s="99">
        <v>0</v>
      </c>
      <c r="CA11" s="2"/>
      <c r="CB11" s="106">
        <v>0</v>
      </c>
      <c r="CD11" s="104">
        <v>0</v>
      </c>
      <c r="CE11" s="99">
        <v>0</v>
      </c>
      <c r="CF11" s="2"/>
      <c r="CG11" s="106">
        <v>0</v>
      </c>
      <c r="CI11" s="104">
        <v>0</v>
      </c>
      <c r="CJ11" s="99">
        <v>0</v>
      </c>
      <c r="CK11" s="2"/>
      <c r="CL11" s="106">
        <v>0</v>
      </c>
      <c r="CN11" s="104">
        <v>0</v>
      </c>
      <c r="CO11" s="99">
        <v>0</v>
      </c>
      <c r="CP11" s="2"/>
      <c r="CQ11" s="106">
        <v>0</v>
      </c>
      <c r="CS11" s="104">
        <v>0</v>
      </c>
      <c r="CT11" s="99">
        <v>0</v>
      </c>
      <c r="CU11" s="2"/>
      <c r="CV11" s="106">
        <v>0</v>
      </c>
      <c r="CX11" s="104">
        <v>0</v>
      </c>
      <c r="CY11" s="99">
        <v>0</v>
      </c>
      <c r="CZ11" s="2"/>
      <c r="DA11" s="106">
        <v>0</v>
      </c>
      <c r="DC11" s="104">
        <v>0</v>
      </c>
      <c r="DD11" s="99">
        <v>0</v>
      </c>
      <c r="DE11" s="2"/>
      <c r="DF11" s="106">
        <v>0</v>
      </c>
      <c r="DH11" s="104">
        <v>0</v>
      </c>
      <c r="DI11" s="99">
        <v>0</v>
      </c>
      <c r="DJ11" s="2"/>
      <c r="DK11" s="106">
        <v>0</v>
      </c>
      <c r="DM11" s="104">
        <v>0</v>
      </c>
      <c r="DN11" s="99">
        <v>0</v>
      </c>
      <c r="DO11" s="2"/>
      <c r="DP11" s="106">
        <v>0</v>
      </c>
      <c r="DR11" s="104">
        <v>0</v>
      </c>
      <c r="DS11" s="99">
        <v>0</v>
      </c>
      <c r="DT11" s="2"/>
      <c r="DU11" s="106">
        <v>0</v>
      </c>
      <c r="DW11" s="104">
        <v>0</v>
      </c>
      <c r="DX11" s="99">
        <v>0</v>
      </c>
      <c r="DY11" s="2"/>
      <c r="DZ11" s="106">
        <v>0</v>
      </c>
      <c r="EB11" s="104">
        <v>0</v>
      </c>
      <c r="EC11" s="99">
        <v>0</v>
      </c>
      <c r="ED11" s="2"/>
      <c r="EE11" s="106">
        <v>0</v>
      </c>
      <c r="EG11" s="104">
        <v>0</v>
      </c>
      <c r="EH11" s="99">
        <v>0</v>
      </c>
      <c r="EI11" s="2"/>
      <c r="EJ11" s="106">
        <v>0</v>
      </c>
      <c r="EL11" s="104">
        <v>0</v>
      </c>
      <c r="EM11" s="99">
        <v>0</v>
      </c>
      <c r="EN11" s="2"/>
      <c r="EO11" s="106">
        <v>0</v>
      </c>
      <c r="EQ11" s="104">
        <v>0</v>
      </c>
      <c r="ER11" s="99">
        <v>0</v>
      </c>
      <c r="ES11" s="2"/>
      <c r="ET11" s="106">
        <v>0</v>
      </c>
      <c r="EV11" s="104">
        <v>0</v>
      </c>
      <c r="EW11" s="99">
        <v>0</v>
      </c>
      <c r="EX11" s="2"/>
      <c r="EY11" s="106">
        <v>0</v>
      </c>
      <c r="FA11" s="104">
        <v>0</v>
      </c>
      <c r="FB11" s="99">
        <v>0</v>
      </c>
      <c r="FC11" s="2"/>
      <c r="FD11" s="106">
        <v>0</v>
      </c>
      <c r="FF11" s="104">
        <v>0</v>
      </c>
      <c r="FG11" s="99">
        <v>0</v>
      </c>
      <c r="FH11" s="2"/>
      <c r="FI11" s="106">
        <v>0</v>
      </c>
      <c r="FK11" s="104">
        <v>0</v>
      </c>
      <c r="FL11" s="99">
        <v>0</v>
      </c>
      <c r="FM11" s="2"/>
      <c r="FN11" s="106">
        <v>0</v>
      </c>
      <c r="FP11" s="104">
        <v>0</v>
      </c>
      <c r="FQ11" s="99">
        <v>0</v>
      </c>
      <c r="FR11" s="2"/>
      <c r="FS11" s="106">
        <v>0</v>
      </c>
      <c r="FU11" s="104">
        <v>0</v>
      </c>
      <c r="FV11" s="99">
        <v>0</v>
      </c>
      <c r="FW11" s="2"/>
      <c r="FX11" s="106">
        <v>0</v>
      </c>
      <c r="FZ11" s="104">
        <v>0</v>
      </c>
      <c r="GA11" s="99">
        <v>0</v>
      </c>
      <c r="GB11" s="2"/>
      <c r="GC11" s="106">
        <v>0</v>
      </c>
      <c r="GE11" s="104">
        <v>0</v>
      </c>
      <c r="GF11" s="99">
        <v>0</v>
      </c>
      <c r="GG11" s="2"/>
      <c r="GH11" s="106">
        <v>0</v>
      </c>
      <c r="GJ11" s="104">
        <v>0</v>
      </c>
      <c r="GK11" s="99">
        <v>0</v>
      </c>
      <c r="GL11" s="2"/>
      <c r="GM11" s="106">
        <v>0</v>
      </c>
      <c r="GO11" s="104">
        <v>0</v>
      </c>
      <c r="GP11" s="99">
        <v>0</v>
      </c>
      <c r="GQ11" s="2"/>
      <c r="GR11" s="106">
        <v>0</v>
      </c>
      <c r="GT11" s="104">
        <v>0</v>
      </c>
      <c r="GU11" s="99">
        <v>0</v>
      </c>
      <c r="GV11" s="2"/>
      <c r="GW11" s="106">
        <v>0</v>
      </c>
      <c r="GY11" s="104">
        <v>0</v>
      </c>
      <c r="GZ11" s="99">
        <v>0</v>
      </c>
      <c r="HA11" s="2"/>
      <c r="HB11" s="106">
        <v>0</v>
      </c>
      <c r="HD11" s="104">
        <v>0</v>
      </c>
      <c r="HE11" s="99">
        <v>0</v>
      </c>
      <c r="HF11" s="2"/>
      <c r="HG11" s="106">
        <v>0</v>
      </c>
      <c r="HI11" s="104">
        <v>0</v>
      </c>
      <c r="HJ11" s="99">
        <v>0</v>
      </c>
      <c r="HK11" s="2"/>
      <c r="HL11" s="106">
        <v>0</v>
      </c>
      <c r="HN11" s="104">
        <v>0</v>
      </c>
      <c r="HO11" s="99">
        <v>0</v>
      </c>
      <c r="HP11" s="2"/>
      <c r="HQ11" s="106">
        <v>0</v>
      </c>
      <c r="HS11" s="103">
        <f t="shared" si="0"/>
        <v>0</v>
      </c>
      <c r="HT11" s="99">
        <v>0</v>
      </c>
      <c r="HU11" s="2"/>
      <c r="HV11" s="106">
        <v>0</v>
      </c>
      <c r="HX11" s="103">
        <f t="shared" si="1"/>
        <v>0</v>
      </c>
      <c r="HY11" s="99">
        <v>0</v>
      </c>
      <c r="HZ11" s="2"/>
      <c r="IA11" s="106">
        <v>0</v>
      </c>
      <c r="IC11" s="103">
        <f t="shared" si="2"/>
        <v>0</v>
      </c>
      <c r="ID11" s="99">
        <v>0</v>
      </c>
      <c r="IE11" s="2"/>
      <c r="IF11" s="106">
        <v>0</v>
      </c>
      <c r="IH11" s="103">
        <f t="shared" si="3"/>
        <v>0</v>
      </c>
      <c r="II11" s="99">
        <v>0</v>
      </c>
      <c r="IJ11" s="2"/>
      <c r="IK11" s="106">
        <v>0</v>
      </c>
      <c r="IM11" s="103">
        <f t="shared" si="4"/>
        <v>0</v>
      </c>
      <c r="IN11" s="99">
        <v>0</v>
      </c>
      <c r="IO11" s="2"/>
      <c r="IP11" s="106">
        <v>0</v>
      </c>
      <c r="IR11" s="103">
        <f t="shared" si="5"/>
        <v>0</v>
      </c>
    </row>
    <row r="12" spans="1:252" ht="12.75">
      <c r="A12" t="s">
        <v>46</v>
      </c>
      <c r="D12" s="2"/>
      <c r="E12" s="107"/>
      <c r="I12" s="2"/>
      <c r="J12" s="107"/>
      <c r="N12" s="2"/>
      <c r="O12" s="107"/>
      <c r="S12" s="2"/>
      <c r="T12" s="107"/>
      <c r="X12" s="2"/>
      <c r="Y12" s="107"/>
      <c r="AC12" s="2"/>
      <c r="AD12" s="107"/>
      <c r="AH12" s="2"/>
      <c r="AI12" s="107"/>
      <c r="AM12" s="2"/>
      <c r="AN12" s="107"/>
      <c r="AR12" s="2"/>
      <c r="AS12" s="107"/>
      <c r="AW12" s="2"/>
      <c r="AX12" s="107"/>
      <c r="BB12" s="2"/>
      <c r="BC12" s="107"/>
      <c r="BG12" s="2"/>
      <c r="BH12" s="107"/>
      <c r="BL12" s="2"/>
      <c r="BM12" s="107"/>
      <c r="BQ12" s="2"/>
      <c r="BR12" s="107"/>
      <c r="BV12" s="2"/>
      <c r="BW12" s="107"/>
      <c r="CA12" s="2"/>
      <c r="CB12" s="107"/>
      <c r="CF12" s="2"/>
      <c r="CG12" s="107"/>
      <c r="CK12" s="2"/>
      <c r="CL12" s="107"/>
      <c r="CP12" s="2"/>
      <c r="CQ12" s="107"/>
      <c r="CU12" s="2"/>
      <c r="CV12" s="107"/>
      <c r="CZ12" s="2"/>
      <c r="DA12" s="107"/>
      <c r="DE12" s="2"/>
      <c r="DF12" s="107"/>
      <c r="DJ12" s="2"/>
      <c r="DK12" s="107"/>
      <c r="DO12" s="2"/>
      <c r="DP12" s="107"/>
      <c r="DT12" s="2"/>
      <c r="DU12" s="107"/>
      <c r="DY12" s="2"/>
      <c r="DZ12" s="107"/>
      <c r="ED12" s="2"/>
      <c r="EE12" s="107"/>
      <c r="EI12" s="2"/>
      <c r="EJ12" s="107"/>
      <c r="EN12" s="2"/>
      <c r="EO12" s="107"/>
      <c r="ES12" s="2"/>
      <c r="ET12" s="107"/>
      <c r="EX12" s="2"/>
      <c r="EY12" s="107"/>
      <c r="FC12" s="2"/>
      <c r="FD12" s="107"/>
      <c r="FH12" s="2"/>
      <c r="FI12" s="107"/>
      <c r="FM12" s="2"/>
      <c r="FN12" s="107"/>
      <c r="FR12" s="2"/>
      <c r="FS12" s="107"/>
      <c r="FW12" s="2"/>
      <c r="FX12" s="107"/>
      <c r="GB12" s="2"/>
      <c r="GC12" s="107"/>
      <c r="GG12" s="2"/>
      <c r="GH12" s="107"/>
      <c r="GL12" s="2"/>
      <c r="GM12" s="107"/>
      <c r="GQ12" s="2"/>
      <c r="GR12" s="107"/>
      <c r="GV12" s="2"/>
      <c r="GW12" s="107"/>
      <c r="HA12" s="2"/>
      <c r="HB12" s="107"/>
      <c r="HF12" s="2"/>
      <c r="HG12" s="107"/>
      <c r="HK12" s="2"/>
      <c r="HL12" s="107"/>
      <c r="HP12" s="2"/>
      <c r="HQ12" s="107">
        <v>0</v>
      </c>
      <c r="HS12" s="103">
        <f t="shared" si="0"/>
        <v>0</v>
      </c>
      <c r="HU12" s="2"/>
      <c r="HV12" s="107">
        <v>0</v>
      </c>
      <c r="HX12" s="103">
        <f t="shared" si="1"/>
        <v>0</v>
      </c>
      <c r="HZ12" s="2"/>
      <c r="IA12" s="107">
        <v>0</v>
      </c>
      <c r="IC12" s="103">
        <f t="shared" si="2"/>
        <v>0</v>
      </c>
      <c r="IE12" s="2"/>
      <c r="IF12" s="107">
        <v>0</v>
      </c>
      <c r="IH12" s="103">
        <f t="shared" si="3"/>
        <v>0</v>
      </c>
      <c r="IJ12" s="2"/>
      <c r="IK12" s="107">
        <v>0</v>
      </c>
      <c r="IM12" s="103">
        <f t="shared" si="4"/>
        <v>0</v>
      </c>
      <c r="IO12" s="2"/>
      <c r="IP12" s="107">
        <v>0</v>
      </c>
      <c r="IR12" s="103">
        <f t="shared" si="5"/>
        <v>0</v>
      </c>
    </row>
    <row r="13" spans="4:249" ht="12.75">
      <c r="D13" s="2"/>
      <c r="I13" s="2"/>
      <c r="N13" s="2"/>
      <c r="S13" s="2"/>
      <c r="X13" s="2"/>
      <c r="AC13" s="2"/>
      <c r="AH13" s="2"/>
      <c r="AM13" s="2"/>
      <c r="AR13" s="2"/>
      <c r="AW13" s="2"/>
      <c r="BB13" s="2"/>
      <c r="BG13" s="2"/>
      <c r="BL13" s="2"/>
      <c r="BQ13" s="2"/>
      <c r="BV13" s="2"/>
      <c r="CA13" s="2"/>
      <c r="CF13" s="2"/>
      <c r="CK13" s="2"/>
      <c r="CP13" s="2"/>
      <c r="CU13" s="2"/>
      <c r="CZ13" s="2"/>
      <c r="DE13" s="2"/>
      <c r="DJ13" s="2"/>
      <c r="DO13" s="2"/>
      <c r="DT13" s="2"/>
      <c r="DY13" s="2"/>
      <c r="ED13" s="2"/>
      <c r="EI13" s="2"/>
      <c r="EN13" s="2"/>
      <c r="ES13" s="2"/>
      <c r="EX13" s="2"/>
      <c r="FC13" s="2"/>
      <c r="FH13" s="2"/>
      <c r="FM13" s="2"/>
      <c r="FR13" s="2"/>
      <c r="FW13" s="2"/>
      <c r="GB13" s="2"/>
      <c r="GG13" s="2"/>
      <c r="GL13" s="2"/>
      <c r="GQ13" s="2"/>
      <c r="GV13" s="2"/>
      <c r="HA13" s="2"/>
      <c r="HF13" s="2"/>
      <c r="HK13" s="2"/>
      <c r="HP13" s="2"/>
      <c r="HU13" s="2"/>
      <c r="HZ13" s="2"/>
      <c r="IE13" s="2"/>
      <c r="IJ13" s="2"/>
      <c r="IO13" s="2"/>
    </row>
    <row r="14" spans="4:249" ht="12.75">
      <c r="D14" s="2"/>
      <c r="I14" s="2"/>
      <c r="N14" s="2"/>
      <c r="S14" s="2"/>
      <c r="X14" s="2"/>
      <c r="AC14" s="2"/>
      <c r="AH14" s="2"/>
      <c r="AM14" s="2"/>
      <c r="AR14" s="2"/>
      <c r="AW14" s="2"/>
      <c r="BB14" s="2"/>
      <c r="BG14" s="2"/>
      <c r="BL14" s="2"/>
      <c r="BQ14" s="2"/>
      <c r="BV14" s="2"/>
      <c r="CA14" s="2"/>
      <c r="CF14" s="2"/>
      <c r="CK14" s="2"/>
      <c r="CP14" s="2"/>
      <c r="CU14" s="2"/>
      <c r="CZ14" s="2"/>
      <c r="DE14" s="2"/>
      <c r="DJ14" s="2"/>
      <c r="DO14" s="2"/>
      <c r="DT14" s="2"/>
      <c r="DY14" s="2"/>
      <c r="ED14" s="2"/>
      <c r="EI14" s="2"/>
      <c r="EN14" s="2"/>
      <c r="ES14" s="2"/>
      <c r="EX14" s="2"/>
      <c r="FC14" s="2"/>
      <c r="FH14" s="2"/>
      <c r="FM14" s="2"/>
      <c r="FR14" s="2"/>
      <c r="FW14" s="2"/>
      <c r="GB14" s="2"/>
      <c r="GG14" s="2"/>
      <c r="GL14" s="2"/>
      <c r="GQ14" s="2"/>
      <c r="GV14" s="2"/>
      <c r="HA14" s="2"/>
      <c r="HF14" s="2"/>
      <c r="HK14" s="2"/>
      <c r="HP14" s="2"/>
      <c r="HU14" s="2"/>
      <c r="HZ14" s="2"/>
      <c r="IE14" s="2"/>
      <c r="IJ14" s="2"/>
      <c r="IO14" s="2"/>
    </row>
    <row r="15" spans="1:252" ht="13.5" thickBot="1">
      <c r="A15" s="1" t="s">
        <v>9</v>
      </c>
      <c r="B15" s="108">
        <v>7995962.329999996</v>
      </c>
      <c r="C15" s="109">
        <f>SUM(C7:C14)</f>
        <v>0</v>
      </c>
      <c r="D15" s="3"/>
      <c r="E15" s="109">
        <f>SUM(E6:E14)</f>
        <v>0</v>
      </c>
      <c r="F15" s="109">
        <f>SUM(F6:F14)</f>
        <v>-4438451</v>
      </c>
      <c r="G15" s="108">
        <f>SUM(G6:G14)</f>
        <v>3557511.3299999963</v>
      </c>
      <c r="H15" s="109">
        <f>SUM(H7:H14)</f>
        <v>0</v>
      </c>
      <c r="I15" s="3"/>
      <c r="J15" s="109">
        <f>SUM(J6:J14)</f>
        <v>0</v>
      </c>
      <c r="K15" s="109">
        <f>SUM(K6:K14)</f>
        <v>-1890432.66</v>
      </c>
      <c r="L15" s="108">
        <f>SUM(L6:L14)</f>
        <v>1667078.6699999964</v>
      </c>
      <c r="M15" s="109">
        <f>SUM(M7:M14)</f>
        <v>0</v>
      </c>
      <c r="N15" s="3"/>
      <c r="O15" s="109">
        <f>SUM(O6:O14)</f>
        <v>0</v>
      </c>
      <c r="P15" s="109">
        <f>SUM(P6:P14)</f>
        <v>1566561.29</v>
      </c>
      <c r="Q15" s="108">
        <f>SUM(Q6:Q14)</f>
        <v>3233639.9599999962</v>
      </c>
      <c r="R15" s="109">
        <f>SUM(R7:R14)</f>
        <v>0</v>
      </c>
      <c r="S15" s="3"/>
      <c r="T15" s="109">
        <f>SUM(T6:T14)</f>
        <v>0</v>
      </c>
      <c r="U15" s="109">
        <f>SUM(U6:U14)</f>
        <v>-9313.34</v>
      </c>
      <c r="V15" s="108">
        <f>SUM(V6:V14)</f>
        <v>3224326.6199999964</v>
      </c>
      <c r="W15" s="109">
        <f>SUM(W7:W14)</f>
        <v>0</v>
      </c>
      <c r="X15" s="3"/>
      <c r="Y15" s="109">
        <f>SUM(Y6:Y14)</f>
        <v>0</v>
      </c>
      <c r="Z15" s="109">
        <f>SUM(Z6:Z14)</f>
        <v>-107921</v>
      </c>
      <c r="AA15" s="108">
        <f>SUM(AA6:AA14)</f>
        <v>3116405.6199999964</v>
      </c>
      <c r="AB15" s="109">
        <f>SUM(AB7:AB14)</f>
        <v>0</v>
      </c>
      <c r="AC15" s="3"/>
      <c r="AD15" s="109">
        <f>SUM(AD6:AD14)</f>
        <v>0</v>
      </c>
      <c r="AE15" s="109">
        <f>SUM(AE6:AE14)</f>
        <v>-558532.48</v>
      </c>
      <c r="AF15" s="108">
        <f>SUM(AF6:AF14)</f>
        <v>2557873.1399999964</v>
      </c>
      <c r="AG15" s="109">
        <f>SUM(AG7:AG14)</f>
        <v>0</v>
      </c>
      <c r="AH15" s="3"/>
      <c r="AI15" s="109">
        <f>SUM(AI6:AI14)</f>
        <v>0</v>
      </c>
      <c r="AJ15" s="109">
        <f>SUM(AJ6:AJ14)</f>
        <v>-1187994.12</v>
      </c>
      <c r="AK15" s="108">
        <f>SUM(AK6:AK14)</f>
        <v>1369879.0199999963</v>
      </c>
      <c r="AL15" s="109">
        <f>SUM(AL7:AL14)</f>
        <v>0</v>
      </c>
      <c r="AM15" s="3"/>
      <c r="AN15" s="109">
        <f>SUM(AN6:AN14)</f>
        <v>0</v>
      </c>
      <c r="AO15" s="109">
        <f>SUM(AO6:AO14)</f>
        <v>-3764397.81</v>
      </c>
      <c r="AP15" s="108">
        <f>SUM(AP6:AP14)</f>
        <v>-2394518.7900000038</v>
      </c>
      <c r="AQ15" s="109">
        <f>SUM(AQ7:AQ14)</f>
        <v>0</v>
      </c>
      <c r="AR15" s="3"/>
      <c r="AS15" s="109">
        <f>SUM(AS6:AS14)</f>
        <v>51000000</v>
      </c>
      <c r="AT15" s="109">
        <f>SUM(AT6:AT14)</f>
        <v>-8103499.3</v>
      </c>
      <c r="AU15" s="108">
        <f>SUM(AU6:AU14)</f>
        <v>43420847.96</v>
      </c>
      <c r="AV15" s="109">
        <f>SUM(AV7:AV14)</f>
        <v>0</v>
      </c>
      <c r="AW15" s="3"/>
      <c r="AX15" s="109">
        <f>SUM(AX6:AX14)</f>
        <v>0</v>
      </c>
      <c r="AY15" s="109">
        <f>SUM(AY6:AY14)</f>
        <v>-3285863.07</v>
      </c>
      <c r="AZ15" s="108">
        <f>SUM(AZ6:AZ14)</f>
        <v>40134984.89</v>
      </c>
      <c r="BA15" s="109">
        <f>SUM(BA7:BA14)</f>
        <v>0</v>
      </c>
      <c r="BB15" s="3"/>
      <c r="BC15" s="109">
        <f>SUM(BC6:BC14)</f>
        <v>0</v>
      </c>
      <c r="BD15" s="109">
        <f>SUM(BD6:BD14)</f>
        <v>-2457972.68</v>
      </c>
      <c r="BE15" s="108">
        <f>SUM(BE6:BE14)</f>
        <v>37677012.21</v>
      </c>
      <c r="BF15" s="109">
        <f>SUM(BF7:BF14)</f>
        <v>0</v>
      </c>
      <c r="BG15" s="3"/>
      <c r="BH15" s="109">
        <f>SUM(BH6:BH14)</f>
        <v>0</v>
      </c>
      <c r="BI15" s="109">
        <f>SUM(BI6:BI14)</f>
        <v>-3176257.58</v>
      </c>
      <c r="BJ15" s="108">
        <f>SUM(BJ6:BJ14)</f>
        <v>34500754.63</v>
      </c>
      <c r="BK15" s="109">
        <f>SUM(BK7:BK14)</f>
        <v>0</v>
      </c>
      <c r="BL15" s="3"/>
      <c r="BM15" s="109">
        <f>SUM(BM6:BM14)</f>
        <v>0</v>
      </c>
      <c r="BN15" s="109">
        <f>SUM(BN6:BN14)</f>
        <v>-3149148.51</v>
      </c>
      <c r="BO15" s="108">
        <f>SUM(BO6:BO14)</f>
        <v>31351606.120000005</v>
      </c>
      <c r="BP15" s="109">
        <f>SUM(BP7:BP14)</f>
        <v>0</v>
      </c>
      <c r="BQ15" s="3"/>
      <c r="BR15" s="109">
        <f>SUM(BR6:BR14)</f>
        <v>0</v>
      </c>
      <c r="BS15" s="109">
        <f>SUM(BS6:BS14)</f>
        <v>-5517237.56</v>
      </c>
      <c r="BT15" s="108">
        <f>SUM(BT6:BT14)</f>
        <v>25834368.560000006</v>
      </c>
      <c r="BU15" s="109">
        <f>SUM(BU7:BU14)</f>
        <v>0</v>
      </c>
      <c r="BV15" s="3"/>
      <c r="BW15" s="109">
        <f>SUM(BW6:BW14)</f>
        <v>0</v>
      </c>
      <c r="BX15" s="109">
        <f>SUM(BX6:BX14)</f>
        <v>-5241715.56</v>
      </c>
      <c r="BY15" s="108">
        <f>SUM(BY6:BY14)</f>
        <v>20592653.000000007</v>
      </c>
      <c r="BZ15" s="109">
        <f>SUM(BZ7:BZ14)</f>
        <v>0</v>
      </c>
      <c r="CA15" s="3"/>
      <c r="CB15" s="109">
        <f>SUM(CB6:CB14)</f>
        <v>0</v>
      </c>
      <c r="CC15" s="109">
        <f>SUM(CC6:CC14)</f>
        <v>-567999.72</v>
      </c>
      <c r="CD15" s="108">
        <f>SUM(CD6:CD14)</f>
        <v>20024653.28000001</v>
      </c>
      <c r="CE15" s="109">
        <f>SUM(CE7:CE14)</f>
        <v>0</v>
      </c>
      <c r="CF15" s="3"/>
      <c r="CG15" s="109">
        <f>SUM(CG6:CG14)</f>
        <v>0</v>
      </c>
      <c r="CH15" s="109">
        <f>SUM(CH6:CH14)</f>
        <v>12848115.39</v>
      </c>
      <c r="CI15" s="108">
        <f>SUM(CI6:CI14)</f>
        <v>32872768.67000001</v>
      </c>
      <c r="CJ15" s="109">
        <f>SUM(CJ7:CJ14)</f>
        <v>0</v>
      </c>
      <c r="CK15" s="3"/>
      <c r="CL15" s="109">
        <f>SUM(CL6:CL14)</f>
        <v>0</v>
      </c>
      <c r="CM15" s="109">
        <f>SUM(CM6:CM14)</f>
        <v>-4310969.58</v>
      </c>
      <c r="CN15" s="108">
        <f>SUM(CN6:CN14)</f>
        <v>28561799.09000001</v>
      </c>
      <c r="CO15" s="109">
        <f>SUM(CO7:CO14)</f>
        <v>0</v>
      </c>
      <c r="CP15" s="3"/>
      <c r="CQ15" s="109">
        <f>SUM(CQ6:CQ14)</f>
        <v>0</v>
      </c>
      <c r="CR15" s="109">
        <f>SUM(CR6:CR14)</f>
        <v>-2330180.9</v>
      </c>
      <c r="CS15" s="108">
        <f>SUM(CS6:CS14)</f>
        <v>26231618.190000013</v>
      </c>
      <c r="CT15" s="109">
        <f>SUM(CT7:CT14)</f>
        <v>0</v>
      </c>
      <c r="CU15" s="3"/>
      <c r="CV15" s="109">
        <f>SUM(CV6:CV14)</f>
        <v>0</v>
      </c>
      <c r="CW15" s="109">
        <f>SUM(CW6:CW14)</f>
        <v>-3751024.58</v>
      </c>
      <c r="CX15" s="108">
        <f>SUM(CX6:CX14)</f>
        <v>22480593.610000014</v>
      </c>
      <c r="CY15" s="109">
        <f>SUM(CY7:CY14)</f>
        <v>0</v>
      </c>
      <c r="CZ15" s="3"/>
      <c r="DA15" s="109">
        <f>SUM(DA6:DA14)</f>
        <v>0</v>
      </c>
      <c r="DB15" s="109">
        <f>SUM(DB6:DB14)</f>
        <v>-2434483.86</v>
      </c>
      <c r="DC15" s="108">
        <f>SUM(DC6:DC14)</f>
        <v>20046109.750000015</v>
      </c>
      <c r="DD15" s="109">
        <f>SUM(DD7:DD14)</f>
        <v>0</v>
      </c>
      <c r="DE15" s="3"/>
      <c r="DF15" s="109">
        <f>SUM(DF6:DF14)</f>
        <v>0</v>
      </c>
      <c r="DG15" s="109">
        <f>SUM(DG6:DG14)</f>
        <v>0</v>
      </c>
      <c r="DH15" s="108">
        <f>SUM(DH6:DH14)</f>
        <v>18998812.440000016</v>
      </c>
      <c r="DI15" s="109">
        <f>SUM(DI7:DI14)</f>
        <v>0</v>
      </c>
      <c r="DJ15" s="3"/>
      <c r="DK15" s="109">
        <f>SUM(DK6:DK14)</f>
        <v>0</v>
      </c>
      <c r="DL15" s="109">
        <f>SUM(DL6:DL14)</f>
        <v>-117651.01</v>
      </c>
      <c r="DM15" s="108">
        <f>SUM(DM6:DM14)</f>
        <v>18881161.430000015</v>
      </c>
      <c r="DN15" s="109">
        <f>SUM(DN7:DN14)</f>
        <v>0</v>
      </c>
      <c r="DO15" s="3"/>
      <c r="DP15" s="109">
        <f>SUM(DP6:DP14)</f>
        <v>0</v>
      </c>
      <c r="DQ15" s="109">
        <f>SUM(DQ6:DQ14)</f>
        <v>0</v>
      </c>
      <c r="DR15" s="108">
        <f>SUM(DR6:DR14)</f>
        <v>18881161.430000015</v>
      </c>
      <c r="DS15" s="109">
        <f>SUM(DS7:DS14)</f>
        <v>0</v>
      </c>
      <c r="DT15" s="3"/>
      <c r="DU15" s="109">
        <f>SUM(DU6:DU14)</f>
        <v>0</v>
      </c>
      <c r="DV15" s="109">
        <f>SUM(DV6:DV14)</f>
        <v>-176710</v>
      </c>
      <c r="DW15" s="108">
        <f>SUM(DW6:DW14)</f>
        <v>18704451.430000015</v>
      </c>
      <c r="DX15" s="109">
        <f>SUM(DX7:DX14)</f>
        <v>0</v>
      </c>
      <c r="DY15" s="3"/>
      <c r="DZ15" s="109">
        <f>SUM(DZ6:DZ14)</f>
        <v>0</v>
      </c>
      <c r="EA15" s="109">
        <f>SUM(EA6:EA14)</f>
        <v>-307079.91</v>
      </c>
      <c r="EB15" s="108">
        <f>SUM(EB6:EB14)</f>
        <v>18397371.520000014</v>
      </c>
      <c r="EC15" s="109">
        <f>SUM(EC7:EC14)</f>
        <v>0</v>
      </c>
      <c r="ED15" s="3"/>
      <c r="EE15" s="109">
        <f>SUM(EE6:EE14)</f>
        <v>0</v>
      </c>
      <c r="EF15" s="109">
        <f>SUM(EF6:EF14)</f>
        <v>-150067.3</v>
      </c>
      <c r="EG15" s="108">
        <f>SUM(EG6:EG14)</f>
        <v>18247304.220000014</v>
      </c>
      <c r="EH15" s="109">
        <f>SUM(EH7:EH14)</f>
        <v>0</v>
      </c>
      <c r="EI15" s="3"/>
      <c r="EJ15" s="109">
        <f>SUM(EJ6:EJ14)</f>
        <v>0</v>
      </c>
      <c r="EK15" s="109">
        <f>SUM(EK6:EK14)</f>
        <v>-8803</v>
      </c>
      <c r="EL15" s="108">
        <f>SUM(EL6:EL14)</f>
        <v>18238501.220000014</v>
      </c>
      <c r="EM15" s="109">
        <f>SUM(EM7:EM14)</f>
        <v>0</v>
      </c>
      <c r="EN15" s="3"/>
      <c r="EO15" s="109">
        <f>SUM(EO6:EO14)</f>
        <v>0</v>
      </c>
      <c r="EP15" s="109">
        <f>SUM(EP6:EP14)</f>
        <v>-127612.84</v>
      </c>
      <c r="EQ15" s="108">
        <f>SUM(EQ6:EQ14)</f>
        <v>18110888.380000014</v>
      </c>
      <c r="ER15" s="109">
        <f>SUM(ER7:ER14)</f>
        <v>0</v>
      </c>
      <c r="ES15" s="3"/>
      <c r="ET15" s="109">
        <f>SUM(ET6:ET14)</f>
        <v>0</v>
      </c>
      <c r="EU15" s="109">
        <f>SUM(EU6:EU14)</f>
        <v>-19746.56</v>
      </c>
      <c r="EV15" s="108">
        <f>SUM(EV6:EV14)</f>
        <v>18091141.820000015</v>
      </c>
      <c r="EW15" s="109">
        <f>SUM(EW7:EW14)</f>
        <v>0</v>
      </c>
      <c r="EX15" s="3"/>
      <c r="EY15" s="109">
        <f>SUM(EY6:EY14)</f>
        <v>0</v>
      </c>
      <c r="EZ15" s="109">
        <f>SUM(EZ6:EZ14)</f>
        <v>-99065.72</v>
      </c>
      <c r="FA15" s="108">
        <f>SUM(FA6:FA14)</f>
        <v>17992076.100000016</v>
      </c>
      <c r="FB15" s="109">
        <f>SUM(FB7:FB14)</f>
        <v>0</v>
      </c>
      <c r="FC15" s="3"/>
      <c r="FD15" s="109">
        <f>SUM(FD6:FD14)</f>
        <v>0</v>
      </c>
      <c r="FE15" s="109">
        <f>SUM(FE6:FE14)</f>
        <v>-64057.61</v>
      </c>
      <c r="FF15" s="108">
        <f>SUM(FF6:FF14)</f>
        <v>17928018.490000017</v>
      </c>
      <c r="FG15" s="109">
        <f>SUM(FG7:FG14)</f>
        <v>0</v>
      </c>
      <c r="FH15" s="3"/>
      <c r="FI15" s="109">
        <f>SUM(FI6:FI14)</f>
        <v>0</v>
      </c>
      <c r="FJ15" s="109">
        <f>SUM(FJ6:FJ14)</f>
        <v>-1498104.91</v>
      </c>
      <c r="FK15" s="108">
        <f>SUM(FK6:FK14)</f>
        <v>16429913.580000017</v>
      </c>
      <c r="FL15" s="109">
        <f>SUM(FL7:FL14)</f>
        <v>0</v>
      </c>
      <c r="FM15" s="3"/>
      <c r="FN15" s="109">
        <f>SUM(FN6:FN14)</f>
        <v>0</v>
      </c>
      <c r="FO15" s="109">
        <f>SUM(FO6:FO14)</f>
        <v>0</v>
      </c>
      <c r="FP15" s="108">
        <f>SUM(FP6:FP14)</f>
        <v>16777335.370000016</v>
      </c>
      <c r="FQ15" s="109">
        <f>SUM(FQ7:FQ14)</f>
        <v>0</v>
      </c>
      <c r="FR15" s="3"/>
      <c r="FS15" s="109">
        <f>SUM(FS6:FS14)</f>
        <v>0</v>
      </c>
      <c r="FT15" s="109">
        <f>SUM(FT6:FT14)</f>
        <v>-2604390.21</v>
      </c>
      <c r="FU15" s="108">
        <f>SUM(FU6:FU14)</f>
        <v>14172945.160000015</v>
      </c>
      <c r="FV15" s="109">
        <f>SUM(FV7:FV14)</f>
        <v>0</v>
      </c>
      <c r="FW15" s="3"/>
      <c r="FX15" s="109">
        <f>SUM(FX6:FX14)</f>
        <v>0</v>
      </c>
      <c r="FY15" s="109">
        <f>SUM(FY6:FY14)</f>
        <v>-2419583.39</v>
      </c>
      <c r="FZ15" s="108">
        <f>SUM(FZ6:FZ14)</f>
        <v>11753361.770000014</v>
      </c>
      <c r="GA15" s="109">
        <f>SUM(GA7:GA14)</f>
        <v>0</v>
      </c>
      <c r="GB15" s="3"/>
      <c r="GC15" s="109">
        <f>SUM(GC6:GC14)</f>
        <v>0</v>
      </c>
      <c r="GD15" s="109">
        <f>SUM(GD6:GD14)</f>
        <v>-1893940.46</v>
      </c>
      <c r="GE15" s="108">
        <f>SUM(GE6:GE14)</f>
        <v>9859421.310000014</v>
      </c>
      <c r="GF15" s="109">
        <f>SUM(GF7:GF14)</f>
        <v>0</v>
      </c>
      <c r="GG15" s="3"/>
      <c r="GH15" s="109">
        <f>SUM(GH6:GH14)</f>
        <v>0</v>
      </c>
      <c r="GI15" s="109">
        <f>SUM(GI6:GI14)</f>
        <v>-2903021.27</v>
      </c>
      <c r="GJ15" s="108">
        <f>SUM(GJ6:GJ14)</f>
        <v>6956400.040000014</v>
      </c>
      <c r="GK15" s="109">
        <f>SUM(GK7:GK14)</f>
        <v>0</v>
      </c>
      <c r="GL15" s="3"/>
      <c r="GM15" s="109">
        <f>SUM(GM6:GM14)</f>
        <v>0</v>
      </c>
      <c r="GN15" s="109">
        <f>SUM(GN6:GN14)</f>
        <v>-1456303.14</v>
      </c>
      <c r="GO15" s="108">
        <f>SUM(GO6:GO14)</f>
        <v>5500096.900000014</v>
      </c>
      <c r="GP15" s="109">
        <f>SUM(GP7:GP14)</f>
        <v>0</v>
      </c>
      <c r="GQ15" s="3"/>
      <c r="GR15" s="109">
        <f>SUM(GR6:GR14)</f>
        <v>0</v>
      </c>
      <c r="GS15" s="109">
        <f>SUM(GS6:GS14)</f>
        <v>-625209.54</v>
      </c>
      <c r="GT15" s="108">
        <f>SUM(GT6:GT14)</f>
        <v>4874887.360000014</v>
      </c>
      <c r="GU15" s="109">
        <f>SUM(GU7:GU14)</f>
        <v>0</v>
      </c>
      <c r="GV15" s="3"/>
      <c r="GW15" s="109">
        <f>SUM(GW6:GW14)</f>
        <v>0</v>
      </c>
      <c r="GX15" s="109">
        <f>SUM(GX6:GX14)</f>
        <v>-467202.66</v>
      </c>
      <c r="GY15" s="108">
        <f>SUM(GY6:GY14)</f>
        <v>4407684.700000014</v>
      </c>
      <c r="GZ15" s="109">
        <f>SUM(GZ7:GZ14)</f>
        <v>0</v>
      </c>
      <c r="HA15" s="3"/>
      <c r="HB15" s="109">
        <f>SUM(HB6:HB14)</f>
        <v>0</v>
      </c>
      <c r="HC15" s="109">
        <f>SUM(HC6:HC14)</f>
        <v>358814.46</v>
      </c>
      <c r="HD15" s="108">
        <f>SUM(HD6:HD14)</f>
        <v>4766499.160000014</v>
      </c>
      <c r="HE15" s="109">
        <f>SUM(HE7:HE14)</f>
        <v>0</v>
      </c>
      <c r="HF15" s="3"/>
      <c r="HG15" s="109">
        <f>SUM(HG6:HG14)</f>
        <v>0</v>
      </c>
      <c r="HH15" s="109">
        <f>SUM(HH6:HH14)</f>
        <v>-2590088.21</v>
      </c>
      <c r="HI15" s="108">
        <f>SUM(HI6:HI14)</f>
        <v>2176410.950000014</v>
      </c>
      <c r="HJ15" s="109">
        <f>SUM(HJ7:HJ14)</f>
        <v>0</v>
      </c>
      <c r="HK15" s="3"/>
      <c r="HL15" s="109">
        <f>SUM(HL6:HL14)</f>
        <v>0</v>
      </c>
      <c r="HM15" s="109">
        <f>SUM(HM6:HM14)</f>
        <v>-3427900.9</v>
      </c>
      <c r="HN15" s="108">
        <f>SUM(HN6:HN14)</f>
        <v>-1251489.9499999858</v>
      </c>
      <c r="HO15" s="109">
        <f>SUM(HO7:HO14)</f>
        <v>0</v>
      </c>
      <c r="HP15" s="3"/>
      <c r="HQ15" s="109">
        <f>SUM(HQ6:HQ14)</f>
        <v>60000000</v>
      </c>
      <c r="HR15" s="109">
        <f>SUM(HR6:HR14)</f>
        <v>-1716175.41</v>
      </c>
      <c r="HS15" s="108">
        <f>SUM(HS6:HS14)</f>
        <v>57032334.640000015</v>
      </c>
      <c r="HT15" s="109">
        <f>SUM(HT7:HT14)</f>
        <v>0</v>
      </c>
      <c r="HU15" s="3"/>
      <c r="HV15" s="109">
        <f>SUM(HV6:HV14)</f>
        <v>0</v>
      </c>
      <c r="HW15" s="109">
        <f>SUM(HW6:HW14)</f>
        <v>-3551854.5100000002</v>
      </c>
      <c r="HX15" s="108">
        <f>SUM(HX6:HX14)</f>
        <v>53480480.13000002</v>
      </c>
      <c r="HY15" s="109">
        <f>SUM(HY7:HY14)</f>
        <v>0</v>
      </c>
      <c r="HZ15" s="3"/>
      <c r="IA15" s="109">
        <f>SUM(IA6:IA14)</f>
        <v>0</v>
      </c>
      <c r="IB15" s="109">
        <f>SUM(IB6:IB14)</f>
        <v>-1163652.94</v>
      </c>
      <c r="IC15" s="108">
        <f>SUM(IC6:IC14)</f>
        <v>52316827.19000002</v>
      </c>
      <c r="ID15" s="109">
        <f>SUM(ID7:ID14)</f>
        <v>0</v>
      </c>
      <c r="IE15" s="3"/>
      <c r="IF15" s="109">
        <f>SUM(IF6:IF14)</f>
        <v>0</v>
      </c>
      <c r="IG15" s="109">
        <f>SUM(IG6:IG14)</f>
        <v>-2423654.61</v>
      </c>
      <c r="IH15" s="108">
        <f>SUM(IH6:IH14)</f>
        <v>49893172.58000002</v>
      </c>
      <c r="II15" s="109">
        <f>SUM(II7:II14)</f>
        <v>0</v>
      </c>
      <c r="IJ15" s="3"/>
      <c r="IK15" s="109">
        <f>SUM(IK6:IK14)</f>
        <v>0</v>
      </c>
      <c r="IL15" s="109">
        <f>SUM(IL6:IL14)</f>
        <v>-827812.72</v>
      </c>
      <c r="IM15" s="108">
        <f>SUM(IM6:IM14)</f>
        <v>49065359.86000002</v>
      </c>
      <c r="IN15" s="109">
        <f>SUM(IN7:IN14)</f>
        <v>0</v>
      </c>
      <c r="IO15" s="3"/>
      <c r="IP15" s="109">
        <f>SUM(IP6:IP14)</f>
        <v>0</v>
      </c>
      <c r="IQ15" s="109">
        <f>SUM(IQ6:IQ14)</f>
        <v>-1182616.53</v>
      </c>
      <c r="IR15" s="108">
        <f>SUM(IR6:IR14)</f>
        <v>47882743.33000002</v>
      </c>
    </row>
    <row r="16" ht="13.5" thickTop="1"/>
    <row r="19" spans="1:251" ht="12.75">
      <c r="A19" t="s">
        <v>13</v>
      </c>
      <c r="F19" s="99">
        <f>-9399738.67+F6</f>
        <v>-13838189.67</v>
      </c>
      <c r="K19" s="99">
        <f>K6+F19</f>
        <v>-15728622.33</v>
      </c>
      <c r="P19" s="99">
        <f>P6+K19</f>
        <v>-14162061.04</v>
      </c>
      <c r="U19" s="99">
        <f>U6+P19</f>
        <v>-14171374.379999999</v>
      </c>
      <c r="Z19" s="99">
        <f>Z6+U19</f>
        <v>-14279295.379999999</v>
      </c>
      <c r="AE19" s="99">
        <f>AE6+Z19</f>
        <v>-14837827.86</v>
      </c>
      <c r="AJ19" s="99">
        <f>AJ6+AE19</f>
        <v>-16025821.98</v>
      </c>
      <c r="AO19" s="99">
        <f>AO6+AJ19</f>
        <v>-19790219.79</v>
      </c>
      <c r="AT19" s="99">
        <f>AT6+AO19</f>
        <v>-27893719.09</v>
      </c>
      <c r="AY19" s="99">
        <f>AY6</f>
        <v>-3285863.07</v>
      </c>
      <c r="BD19" s="99">
        <f>BD6+AY19</f>
        <v>-5743835.75</v>
      </c>
      <c r="BI19" s="99">
        <f>BI6+BD19</f>
        <v>-8920093.33</v>
      </c>
      <c r="BN19" s="99">
        <f>BN6+BI19</f>
        <v>-12069241.84</v>
      </c>
      <c r="BS19" s="99">
        <f>BS6+BN19</f>
        <v>-17586479.4</v>
      </c>
      <c r="BX19" s="99">
        <f>BX6+BS19</f>
        <v>-22828194.959999997</v>
      </c>
      <c r="CC19" s="99">
        <f>CC6+BX19</f>
        <v>-23396194.679999996</v>
      </c>
      <c r="CH19" s="99">
        <f>CH6+CC19</f>
        <v>-10548079.289999995</v>
      </c>
      <c r="CM19" s="99">
        <f>CM6+CH19</f>
        <v>-14859048.869999995</v>
      </c>
      <c r="CR19" s="99">
        <f>CR6+CM19</f>
        <v>-17189229.769999996</v>
      </c>
      <c r="CW19" s="99">
        <f>CW6+CR19</f>
        <v>-20940254.349999994</v>
      </c>
      <c r="DB19" s="99">
        <f>DB6+CW19</f>
        <v>-23374738.209999993</v>
      </c>
      <c r="DG19" s="99">
        <v>0</v>
      </c>
      <c r="DL19" s="99">
        <f>DG19+DL6</f>
        <v>-117651.01</v>
      </c>
      <c r="DQ19" s="99">
        <f>DL19+DQ6</f>
        <v>-117651.01</v>
      </c>
      <c r="DV19" s="99">
        <f>DQ19+DV6</f>
        <v>-294361.01</v>
      </c>
      <c r="EA19" s="99">
        <f>DV19+EA6</f>
        <v>-601440.9199999999</v>
      </c>
      <c r="EF19" s="99">
        <f>EA19+EF6</f>
        <v>-751508.22</v>
      </c>
      <c r="EK19" s="99">
        <f>EF19+EK6</f>
        <v>-760311.22</v>
      </c>
      <c r="EP19" s="99">
        <f>EK19+EP6</f>
        <v>-887924.0599999999</v>
      </c>
      <c r="EU19" s="99">
        <f>EP19+EU6</f>
        <v>-907670.62</v>
      </c>
      <c r="EZ19" s="99">
        <f>EU19+EZ6</f>
        <v>-1006736.34</v>
      </c>
      <c r="FE19" s="99">
        <f>EZ19+FE6</f>
        <v>-1070793.95</v>
      </c>
      <c r="FJ19" s="99">
        <f>FE19+FJ6</f>
        <v>-2568898.86</v>
      </c>
      <c r="FO19" s="99">
        <f>FJ19+FO6</f>
        <v>-2568898.86</v>
      </c>
      <c r="FT19" s="99">
        <f>FT6</f>
        <v>-2604390.21</v>
      </c>
      <c r="FY19" s="99">
        <f>FY6+FT19</f>
        <v>-5023973.6</v>
      </c>
      <c r="GD19" s="99">
        <f>GD6+FY19</f>
        <v>-6917914.06</v>
      </c>
      <c r="GI19" s="99">
        <f>GI6+GD19</f>
        <v>-9820935.33</v>
      </c>
      <c r="GN19" s="99">
        <f>GN6+GI19</f>
        <v>-11277238.47</v>
      </c>
      <c r="GS19" s="99">
        <f>GS6+GN19</f>
        <v>-11902448.010000002</v>
      </c>
      <c r="GX19" s="99">
        <f>GX6+GS19</f>
        <v>-12369650.670000002</v>
      </c>
      <c r="HC19" s="99">
        <f>HC6+GX19</f>
        <v>-12010836.21</v>
      </c>
      <c r="HH19" s="99">
        <f>HH6+HC19</f>
        <v>-14600924.420000002</v>
      </c>
      <c r="HM19" s="99">
        <f>HM6+HH19</f>
        <v>-18028825.32</v>
      </c>
      <c r="HR19" s="99">
        <f>HR6+HM19</f>
        <v>-19745000.73</v>
      </c>
      <c r="HW19" s="99">
        <f>HW6+HR19</f>
        <v>-23296855.240000002</v>
      </c>
      <c r="IB19" s="99">
        <f>IB6</f>
        <v>-1163652.94</v>
      </c>
      <c r="IG19" s="99">
        <f>IG6+IB19</f>
        <v>-3587307.55</v>
      </c>
      <c r="IL19" s="99">
        <f>IL6+IG19</f>
        <v>-4415120.27</v>
      </c>
      <c r="IQ19" s="99">
        <f>IQ6+IL19</f>
        <v>-5597736.8</v>
      </c>
    </row>
    <row r="21" spans="2:252" ht="12.75">
      <c r="B21" s="104"/>
      <c r="D21" t="s">
        <v>34</v>
      </c>
      <c r="G21" s="104"/>
      <c r="I21" t="s">
        <v>34</v>
      </c>
      <c r="L21" s="104"/>
      <c r="N21" t="s">
        <v>34</v>
      </c>
      <c r="Q21" s="104"/>
      <c r="S21" t="s">
        <v>34</v>
      </c>
      <c r="V21" s="104"/>
      <c r="X21" t="s">
        <v>34</v>
      </c>
      <c r="AA21" s="104"/>
      <c r="AC21" t="s">
        <v>34</v>
      </c>
      <c r="AF21" s="104"/>
      <c r="AH21" t="s">
        <v>34</v>
      </c>
      <c r="AK21" s="104"/>
      <c r="AM21" t="s">
        <v>34</v>
      </c>
      <c r="AP21" s="104"/>
      <c r="AR21" t="s">
        <v>34</v>
      </c>
      <c r="AU21" s="104"/>
      <c r="AW21" t="s">
        <v>34</v>
      </c>
      <c r="AZ21" s="104"/>
      <c r="BB21" t="s">
        <v>34</v>
      </c>
      <c r="BE21" s="104"/>
      <c r="BG21" t="s">
        <v>34</v>
      </c>
      <c r="BJ21" s="104"/>
      <c r="BL21" t="s">
        <v>34</v>
      </c>
      <c r="BO21" s="104"/>
      <c r="BQ21" t="s">
        <v>34</v>
      </c>
      <c r="BT21" s="104"/>
      <c r="BV21" t="s">
        <v>34</v>
      </c>
      <c r="BY21" s="104"/>
      <c r="CA21" t="s">
        <v>34</v>
      </c>
      <c r="CD21" s="104"/>
      <c r="CF21" t="s">
        <v>34</v>
      </c>
      <c r="CI21" s="104"/>
      <c r="CK21" t="s">
        <v>34</v>
      </c>
      <c r="CN21" s="104"/>
      <c r="CP21" t="s">
        <v>34</v>
      </c>
      <c r="CS21" s="104"/>
      <c r="CU21" t="s">
        <v>34</v>
      </c>
      <c r="CX21" s="104"/>
      <c r="CZ21" t="s">
        <v>34</v>
      </c>
      <c r="DC21" s="104"/>
      <c r="DE21" t="s">
        <v>34</v>
      </c>
      <c r="DH21" s="104"/>
      <c r="DJ21" t="s">
        <v>34</v>
      </c>
      <c r="DM21" s="104"/>
      <c r="DO21" t="s">
        <v>34</v>
      </c>
      <c r="DR21" s="104"/>
      <c r="DT21" t="s">
        <v>34</v>
      </c>
      <c r="DW21" s="104"/>
      <c r="DY21" t="s">
        <v>34</v>
      </c>
      <c r="EB21" s="104"/>
      <c r="ED21" t="s">
        <v>34</v>
      </c>
      <c r="EG21" s="104"/>
      <c r="EI21" t="s">
        <v>34</v>
      </c>
      <c r="EL21" s="104"/>
      <c r="EN21" t="s">
        <v>34</v>
      </c>
      <c r="EQ21" s="104"/>
      <c r="ES21" t="s">
        <v>34</v>
      </c>
      <c r="EV21" s="104"/>
      <c r="EX21" t="s">
        <v>34</v>
      </c>
      <c r="FA21" s="104"/>
      <c r="FC21" t="s">
        <v>34</v>
      </c>
      <c r="FF21" s="104"/>
      <c r="FH21" t="s">
        <v>34</v>
      </c>
      <c r="FK21" s="104"/>
      <c r="FM21" t="s">
        <v>34</v>
      </c>
      <c r="FP21" s="104"/>
      <c r="FR21" t="s">
        <v>34</v>
      </c>
      <c r="FU21" s="104"/>
      <c r="FW21" t="s">
        <v>34</v>
      </c>
      <c r="FZ21" s="104"/>
      <c r="GB21" t="s">
        <v>34</v>
      </c>
      <c r="GE21" s="104"/>
      <c r="GG21" t="s">
        <v>34</v>
      </c>
      <c r="GJ21" s="104"/>
      <c r="GL21" t="s">
        <v>34</v>
      </c>
      <c r="GO21" s="104"/>
      <c r="GQ21" t="s">
        <v>34</v>
      </c>
      <c r="GT21" s="104"/>
      <c r="GV21" t="s">
        <v>34</v>
      </c>
      <c r="GY21" s="104"/>
      <c r="HA21" t="s">
        <v>34</v>
      </c>
      <c r="HD21" s="104"/>
      <c r="HF21" t="s">
        <v>34</v>
      </c>
      <c r="HI21" s="104"/>
      <c r="HK21" t="s">
        <v>34</v>
      </c>
      <c r="HN21" s="104"/>
      <c r="HP21" t="s">
        <v>34</v>
      </c>
      <c r="HS21" s="104"/>
      <c r="HU21" t="s">
        <v>34</v>
      </c>
      <c r="HX21" s="104"/>
      <c r="HZ21" t="s">
        <v>34</v>
      </c>
      <c r="IC21" s="104"/>
      <c r="IE21" t="s">
        <v>34</v>
      </c>
      <c r="IH21" s="104"/>
      <c r="IJ21" t="s">
        <v>34</v>
      </c>
      <c r="IM21" s="104"/>
      <c r="IO21" t="s">
        <v>34</v>
      </c>
      <c r="IR21" s="104"/>
    </row>
    <row r="23" spans="2:252" ht="12.75">
      <c r="B23" s="17"/>
      <c r="D23" t="s">
        <v>35</v>
      </c>
      <c r="G23" s="17"/>
      <c r="I23" t="s">
        <v>35</v>
      </c>
      <c r="L23" s="17"/>
      <c r="N23" t="s">
        <v>35</v>
      </c>
      <c r="Q23" s="17"/>
      <c r="S23" t="s">
        <v>35</v>
      </c>
      <c r="V23" s="17"/>
      <c r="X23" t="s">
        <v>35</v>
      </c>
      <c r="AA23" s="17"/>
      <c r="AC23" t="s">
        <v>35</v>
      </c>
      <c r="AF23" s="17"/>
      <c r="AH23" t="s">
        <v>35</v>
      </c>
      <c r="AK23" s="17"/>
      <c r="AM23" t="s">
        <v>35</v>
      </c>
      <c r="AP23" s="17"/>
      <c r="AR23" t="s">
        <v>35</v>
      </c>
      <c r="AU23" s="17"/>
      <c r="AW23" t="s">
        <v>35</v>
      </c>
      <c r="AZ23" s="17"/>
      <c r="BB23" t="s">
        <v>35</v>
      </c>
      <c r="BE23" s="17"/>
      <c r="BG23" t="s">
        <v>35</v>
      </c>
      <c r="BJ23" s="17"/>
      <c r="BL23" t="s">
        <v>35</v>
      </c>
      <c r="BO23" s="17"/>
      <c r="BQ23" t="s">
        <v>35</v>
      </c>
      <c r="BT23" s="17"/>
      <c r="BV23" t="s">
        <v>35</v>
      </c>
      <c r="BY23" s="17"/>
      <c r="CA23" t="s">
        <v>35</v>
      </c>
      <c r="CD23" s="17"/>
      <c r="CF23" t="s">
        <v>35</v>
      </c>
      <c r="CI23" s="17"/>
      <c r="CK23" t="s">
        <v>35</v>
      </c>
      <c r="CN23" s="17"/>
      <c r="CP23" t="s">
        <v>35</v>
      </c>
      <c r="CS23" s="17"/>
      <c r="CU23" t="s">
        <v>35</v>
      </c>
      <c r="CX23" s="17"/>
      <c r="CZ23" t="s">
        <v>35</v>
      </c>
      <c r="DC23" s="17"/>
      <c r="DE23" t="s">
        <v>35</v>
      </c>
      <c r="DH23" s="17"/>
      <c r="DJ23" t="s">
        <v>35</v>
      </c>
      <c r="DM23" s="17"/>
      <c r="DO23" t="s">
        <v>35</v>
      </c>
      <c r="DR23" s="17"/>
      <c r="DT23" t="s">
        <v>35</v>
      </c>
      <c r="DW23" s="17"/>
      <c r="DY23" t="s">
        <v>35</v>
      </c>
      <c r="EB23" s="17"/>
      <c r="ED23" t="s">
        <v>35</v>
      </c>
      <c r="EG23" s="17"/>
      <c r="EI23" t="s">
        <v>35</v>
      </c>
      <c r="EL23" s="17"/>
      <c r="EN23" t="s">
        <v>35</v>
      </c>
      <c r="EQ23" s="17"/>
      <c r="ES23" t="s">
        <v>35</v>
      </c>
      <c r="EV23" s="17"/>
      <c r="EX23" t="s">
        <v>35</v>
      </c>
      <c r="FA23" s="17"/>
      <c r="FC23" t="s">
        <v>35</v>
      </c>
      <c r="FF23" s="17"/>
      <c r="FH23" t="s">
        <v>35</v>
      </c>
      <c r="FK23" s="17"/>
      <c r="FM23" t="s">
        <v>35</v>
      </c>
      <c r="FP23" s="17"/>
      <c r="FR23" t="s">
        <v>35</v>
      </c>
      <c r="FU23" s="17"/>
      <c r="FW23" t="s">
        <v>35</v>
      </c>
      <c r="FZ23" s="17"/>
      <c r="GB23" t="s">
        <v>35</v>
      </c>
      <c r="GE23" s="17"/>
      <c r="GG23" t="s">
        <v>35</v>
      </c>
      <c r="GJ23" s="17"/>
      <c r="GL23" t="s">
        <v>35</v>
      </c>
      <c r="GO23" s="17"/>
      <c r="GQ23" t="s">
        <v>35</v>
      </c>
      <c r="GT23" s="17"/>
      <c r="GV23" t="s">
        <v>35</v>
      </c>
      <c r="GY23" s="17"/>
      <c r="HA23" t="s">
        <v>35</v>
      </c>
      <c r="HD23" s="17"/>
      <c r="HF23" t="s">
        <v>35</v>
      </c>
      <c r="HI23" s="17"/>
      <c r="HK23" t="s">
        <v>35</v>
      </c>
      <c r="HN23" s="17"/>
      <c r="HP23" t="s">
        <v>35</v>
      </c>
      <c r="HS23" s="17"/>
      <c r="HU23" t="s">
        <v>35</v>
      </c>
      <c r="HX23" s="17"/>
      <c r="HZ23" t="s">
        <v>35</v>
      </c>
      <c r="IC23" s="17"/>
      <c r="IE23" t="s">
        <v>35</v>
      </c>
      <c r="IH23" s="17"/>
      <c r="IJ23" t="s">
        <v>35</v>
      </c>
      <c r="IM23" s="17"/>
      <c r="IO23" t="s">
        <v>35</v>
      </c>
      <c r="IR23" s="17"/>
    </row>
    <row r="25" spans="2:252" ht="12.75">
      <c r="B25" s="103">
        <f>SUM(B26:B29)</f>
        <v>0</v>
      </c>
      <c r="D25" t="s">
        <v>33</v>
      </c>
      <c r="G25" s="103">
        <f>SUM(G26:G29)</f>
        <v>0</v>
      </c>
      <c r="I25" t="s">
        <v>33</v>
      </c>
      <c r="L25" s="103">
        <f>SUM(L26:L29)</f>
        <v>0</v>
      </c>
      <c r="N25" t="s">
        <v>33</v>
      </c>
      <c r="Q25" s="103">
        <f>SUM(Q26:Q29)</f>
        <v>0</v>
      </c>
      <c r="S25" t="s">
        <v>33</v>
      </c>
      <c r="V25" s="103">
        <f>SUM(V26:V29)</f>
        <v>0</v>
      </c>
      <c r="X25" t="s">
        <v>33</v>
      </c>
      <c r="AA25" s="103">
        <f>SUM(AA26:AA29)</f>
        <v>0</v>
      </c>
      <c r="AC25" t="s">
        <v>33</v>
      </c>
      <c r="AF25" s="103">
        <f>SUM(AF26:AF29)</f>
        <v>0</v>
      </c>
      <c r="AH25" t="s">
        <v>33</v>
      </c>
      <c r="AK25" s="103">
        <f>SUM(AK26:AK29)</f>
        <v>0</v>
      </c>
      <c r="AM25" t="s">
        <v>33</v>
      </c>
      <c r="AP25" s="103">
        <f>SUM(AP26:AP29)</f>
        <v>0</v>
      </c>
      <c r="AR25" t="s">
        <v>33</v>
      </c>
      <c r="AU25" s="103">
        <f>SUM(AU26:AU29)</f>
        <v>0</v>
      </c>
      <c r="AW25" t="s">
        <v>33</v>
      </c>
      <c r="AZ25" s="103">
        <f>SUM(AZ26:AZ29)</f>
        <v>0</v>
      </c>
      <c r="BB25" t="s">
        <v>33</v>
      </c>
      <c r="BE25" s="103">
        <f>SUM(BE26:BE29)</f>
        <v>0</v>
      </c>
      <c r="BG25" t="s">
        <v>33</v>
      </c>
      <c r="BJ25" s="103">
        <f>SUM(BJ26:BJ29)</f>
        <v>0</v>
      </c>
      <c r="BL25" t="s">
        <v>33</v>
      </c>
      <c r="BO25" s="103">
        <f>SUM(BO26:BO29)</f>
        <v>0</v>
      </c>
      <c r="BQ25" t="s">
        <v>33</v>
      </c>
      <c r="BT25" s="103">
        <f>SUM(BT26:BT29)</f>
        <v>0</v>
      </c>
      <c r="BV25" t="s">
        <v>33</v>
      </c>
      <c r="BY25" s="103">
        <f>SUM(BY26:BY29)</f>
        <v>0</v>
      </c>
      <c r="CA25" t="s">
        <v>33</v>
      </c>
      <c r="CD25" s="103">
        <f>SUM(CD26:CD29)</f>
        <v>0</v>
      </c>
      <c r="CF25" t="s">
        <v>33</v>
      </c>
      <c r="CI25" s="103">
        <f>SUM(CI26:CI29)</f>
        <v>0</v>
      </c>
      <c r="CK25" t="s">
        <v>33</v>
      </c>
      <c r="CN25" s="103">
        <f>SUM(CN26:CN29)</f>
        <v>0</v>
      </c>
      <c r="CP25" t="s">
        <v>33</v>
      </c>
      <c r="CS25" s="103">
        <f>SUM(CS26:CS29)</f>
        <v>0</v>
      </c>
      <c r="CU25" t="s">
        <v>33</v>
      </c>
      <c r="CX25" s="103">
        <f>SUM(CX26:CX29)</f>
        <v>0</v>
      </c>
      <c r="CZ25" t="s">
        <v>33</v>
      </c>
      <c r="DC25" s="103">
        <f>SUM(DC26:DC29)</f>
        <v>0</v>
      </c>
      <c r="DE25" t="s">
        <v>33</v>
      </c>
      <c r="DH25" s="103">
        <f>SUM(DH26:DH29)</f>
        <v>0</v>
      </c>
      <c r="DJ25" t="s">
        <v>33</v>
      </c>
      <c r="DM25" s="103">
        <f>SUM(DM26:DM29)</f>
        <v>0</v>
      </c>
      <c r="DO25" t="s">
        <v>33</v>
      </c>
      <c r="DR25" s="103">
        <f>SUM(DR26:DR29)</f>
        <v>0</v>
      </c>
      <c r="DT25" t="s">
        <v>33</v>
      </c>
      <c r="DW25" s="103">
        <f>SUM(DW26:DW29)</f>
        <v>0</v>
      </c>
      <c r="DY25" t="s">
        <v>33</v>
      </c>
      <c r="EB25" s="103">
        <f>SUM(EB26:EB29)</f>
        <v>0</v>
      </c>
      <c r="ED25" t="s">
        <v>33</v>
      </c>
      <c r="EG25" s="103">
        <f>SUM(EG26:EG29)</f>
        <v>0</v>
      </c>
      <c r="EI25" t="s">
        <v>33</v>
      </c>
      <c r="EL25" s="103">
        <f>SUM(EL26:EL29)</f>
        <v>0</v>
      </c>
      <c r="EN25" t="s">
        <v>33</v>
      </c>
      <c r="EQ25" s="103">
        <f>SUM(EQ26:EQ29)</f>
        <v>0</v>
      </c>
      <c r="ES25" t="s">
        <v>33</v>
      </c>
      <c r="EV25" s="103">
        <f>SUM(EV26:EV29)</f>
        <v>0</v>
      </c>
      <c r="EX25" t="s">
        <v>33</v>
      </c>
      <c r="FA25" s="103">
        <f>SUM(FA26:FA29)</f>
        <v>0</v>
      </c>
      <c r="FC25" t="s">
        <v>33</v>
      </c>
      <c r="FF25" s="103">
        <f>SUM(FF26:FF29)</f>
        <v>0</v>
      </c>
      <c r="FH25" t="s">
        <v>33</v>
      </c>
      <c r="FK25" s="103">
        <f>SUM(FK26:FK29)</f>
        <v>0</v>
      </c>
      <c r="FM25" t="s">
        <v>33</v>
      </c>
      <c r="FP25" s="103">
        <f>SUM(FP26:FP29)</f>
        <v>0</v>
      </c>
      <c r="FR25" t="s">
        <v>33</v>
      </c>
      <c r="FU25" s="103">
        <f>SUM(FU26:FU29)</f>
        <v>0</v>
      </c>
      <c r="FW25" t="s">
        <v>33</v>
      </c>
      <c r="FZ25" s="103">
        <f>SUM(FZ26:FZ29)</f>
        <v>0</v>
      </c>
      <c r="GB25" t="s">
        <v>33</v>
      </c>
      <c r="GE25" s="103">
        <f>SUM(GE26:GE29)</f>
        <v>0</v>
      </c>
      <c r="GG25" t="s">
        <v>33</v>
      </c>
      <c r="GJ25" s="103">
        <f>SUM(GJ26:GJ29)</f>
        <v>0</v>
      </c>
      <c r="GL25" t="s">
        <v>33</v>
      </c>
      <c r="GO25" s="103">
        <f>SUM(GO26:GO29)</f>
        <v>0</v>
      </c>
      <c r="GQ25" t="s">
        <v>33</v>
      </c>
      <c r="GT25" s="103">
        <f>SUM(GT26:GT29)</f>
        <v>0</v>
      </c>
      <c r="GV25" t="s">
        <v>33</v>
      </c>
      <c r="GY25" s="103">
        <f>SUM(GY26:GY29)</f>
        <v>0</v>
      </c>
      <c r="HA25" t="s">
        <v>33</v>
      </c>
      <c r="HD25" s="103">
        <f>SUM(HD26:HD29)</f>
        <v>0</v>
      </c>
      <c r="HF25" t="s">
        <v>33</v>
      </c>
      <c r="HI25" s="103">
        <f>SUM(HI26:HI29)</f>
        <v>0</v>
      </c>
      <c r="HK25" t="s">
        <v>33</v>
      </c>
      <c r="HN25" s="103">
        <f>SUM(HN26:HN29)</f>
        <v>0</v>
      </c>
      <c r="HP25" t="s">
        <v>33</v>
      </c>
      <c r="HS25" s="103">
        <f>SUM(HS26:HS29)</f>
        <v>0</v>
      </c>
      <c r="HU25" t="s">
        <v>33</v>
      </c>
      <c r="HX25" s="103">
        <f>SUM(HX26:HX29)</f>
        <v>0</v>
      </c>
      <c r="HZ25" t="s">
        <v>33</v>
      </c>
      <c r="IC25" s="103">
        <f>SUM(IC26:IC29)</f>
        <v>0</v>
      </c>
      <c r="IE25" t="s">
        <v>33</v>
      </c>
      <c r="IH25" s="103">
        <f>SUM(IH26:IH29)</f>
        <v>0</v>
      </c>
      <c r="IJ25" t="s">
        <v>33</v>
      </c>
      <c r="IM25" s="103">
        <f>SUM(IM26:IM29)</f>
        <v>0</v>
      </c>
      <c r="IO25" t="s">
        <v>33</v>
      </c>
      <c r="IR25" s="103">
        <f>SUM(IR26:IR29)</f>
        <v>0</v>
      </c>
    </row>
    <row r="26" spans="2:252" ht="12.75">
      <c r="B26" s="110"/>
      <c r="D26" t="s">
        <v>31</v>
      </c>
      <c r="G26" s="110"/>
      <c r="I26" t="s">
        <v>31</v>
      </c>
      <c r="L26" s="110"/>
      <c r="N26" t="s">
        <v>31</v>
      </c>
      <c r="Q26" s="110"/>
      <c r="S26" t="s">
        <v>31</v>
      </c>
      <c r="V26" s="110"/>
      <c r="X26" t="s">
        <v>31</v>
      </c>
      <c r="AA26" s="110"/>
      <c r="AC26" t="s">
        <v>31</v>
      </c>
      <c r="AF26" s="110"/>
      <c r="AH26" t="s">
        <v>31</v>
      </c>
      <c r="AK26" s="110"/>
      <c r="AM26" t="s">
        <v>31</v>
      </c>
      <c r="AP26" s="110"/>
      <c r="AR26" t="s">
        <v>31</v>
      </c>
      <c r="AU26" s="110"/>
      <c r="AW26" t="s">
        <v>31</v>
      </c>
      <c r="AZ26" s="110"/>
      <c r="BB26" t="s">
        <v>31</v>
      </c>
      <c r="BE26" s="110"/>
      <c r="BG26" t="s">
        <v>31</v>
      </c>
      <c r="BJ26" s="110"/>
      <c r="BL26" t="s">
        <v>31</v>
      </c>
      <c r="BO26" s="110"/>
      <c r="BQ26" t="s">
        <v>31</v>
      </c>
      <c r="BT26" s="110"/>
      <c r="BV26" t="s">
        <v>31</v>
      </c>
      <c r="BY26" s="110"/>
      <c r="CA26" t="s">
        <v>31</v>
      </c>
      <c r="CD26" s="110"/>
      <c r="CF26" t="s">
        <v>31</v>
      </c>
      <c r="CI26" s="110"/>
      <c r="CK26" t="s">
        <v>31</v>
      </c>
      <c r="CN26" s="110"/>
      <c r="CP26" t="s">
        <v>31</v>
      </c>
      <c r="CS26" s="110"/>
      <c r="CU26" t="s">
        <v>31</v>
      </c>
      <c r="CX26" s="110"/>
      <c r="CZ26" t="s">
        <v>31</v>
      </c>
      <c r="DC26" s="110"/>
      <c r="DE26" t="s">
        <v>31</v>
      </c>
      <c r="DH26" s="110"/>
      <c r="DJ26" t="s">
        <v>31</v>
      </c>
      <c r="DM26" s="110"/>
      <c r="DO26" t="s">
        <v>31</v>
      </c>
      <c r="DR26" s="110"/>
      <c r="DT26" t="s">
        <v>31</v>
      </c>
      <c r="DW26" s="110"/>
      <c r="DY26" t="s">
        <v>31</v>
      </c>
      <c r="EB26" s="110"/>
      <c r="ED26" t="s">
        <v>31</v>
      </c>
      <c r="EG26" s="110"/>
      <c r="EI26" t="s">
        <v>31</v>
      </c>
      <c r="EL26" s="110"/>
      <c r="EN26" t="s">
        <v>31</v>
      </c>
      <c r="EQ26" s="110"/>
      <c r="ES26" t="s">
        <v>31</v>
      </c>
      <c r="EV26" s="110"/>
      <c r="EX26" t="s">
        <v>31</v>
      </c>
      <c r="FA26" s="110"/>
      <c r="FC26" t="s">
        <v>31</v>
      </c>
      <c r="FF26" s="110"/>
      <c r="FH26" t="s">
        <v>31</v>
      </c>
      <c r="FK26" s="110"/>
      <c r="FM26" t="s">
        <v>31</v>
      </c>
      <c r="FP26" s="110"/>
      <c r="FR26" t="s">
        <v>31</v>
      </c>
      <c r="FU26" s="110"/>
      <c r="FW26" t="s">
        <v>31</v>
      </c>
      <c r="FZ26" s="110"/>
      <c r="GB26" t="s">
        <v>31</v>
      </c>
      <c r="GE26" s="110"/>
      <c r="GG26" t="s">
        <v>31</v>
      </c>
      <c r="GJ26" s="110"/>
      <c r="GL26" t="s">
        <v>31</v>
      </c>
      <c r="GO26" s="110"/>
      <c r="GQ26" t="s">
        <v>31</v>
      </c>
      <c r="GT26" s="110"/>
      <c r="GV26" t="s">
        <v>31</v>
      </c>
      <c r="GY26" s="110"/>
      <c r="HA26" t="s">
        <v>31</v>
      </c>
      <c r="HD26" s="110"/>
      <c r="HF26" t="s">
        <v>31</v>
      </c>
      <c r="HI26" s="110"/>
      <c r="HK26" t="s">
        <v>31</v>
      </c>
      <c r="HN26" s="110"/>
      <c r="HP26" t="s">
        <v>31</v>
      </c>
      <c r="HS26" s="110"/>
      <c r="HU26" t="s">
        <v>31</v>
      </c>
      <c r="HX26" s="110"/>
      <c r="HZ26" t="s">
        <v>31</v>
      </c>
      <c r="IC26" s="110"/>
      <c r="IE26" t="s">
        <v>31</v>
      </c>
      <c r="IH26" s="110"/>
      <c r="IJ26" t="s">
        <v>31</v>
      </c>
      <c r="IM26" s="110"/>
      <c r="IO26" t="s">
        <v>31</v>
      </c>
      <c r="IR26" s="110"/>
    </row>
    <row r="27" spans="2:252" ht="12.75">
      <c r="B27" s="107">
        <v>0</v>
      </c>
      <c r="D27" t="s">
        <v>32</v>
      </c>
      <c r="G27" s="107">
        <v>0</v>
      </c>
      <c r="I27" t="s">
        <v>32</v>
      </c>
      <c r="L27" s="107">
        <v>0</v>
      </c>
      <c r="N27" t="s">
        <v>32</v>
      </c>
      <c r="Q27" s="107">
        <v>0</v>
      </c>
      <c r="S27" t="s">
        <v>32</v>
      </c>
      <c r="V27" s="107">
        <v>0</v>
      </c>
      <c r="X27" t="s">
        <v>32</v>
      </c>
      <c r="AA27" s="107">
        <v>0</v>
      </c>
      <c r="AC27" t="s">
        <v>32</v>
      </c>
      <c r="AF27" s="107">
        <v>0</v>
      </c>
      <c r="AH27" t="s">
        <v>32</v>
      </c>
      <c r="AK27" s="107">
        <v>0</v>
      </c>
      <c r="AM27" t="s">
        <v>32</v>
      </c>
      <c r="AP27" s="107">
        <v>0</v>
      </c>
      <c r="AR27" t="s">
        <v>32</v>
      </c>
      <c r="AU27" s="107">
        <v>0</v>
      </c>
      <c r="AW27" t="s">
        <v>32</v>
      </c>
      <c r="AZ27" s="107">
        <v>0</v>
      </c>
      <c r="BB27" t="s">
        <v>32</v>
      </c>
      <c r="BE27" s="107">
        <v>0</v>
      </c>
      <c r="BG27" t="s">
        <v>32</v>
      </c>
      <c r="BJ27" s="107">
        <v>0</v>
      </c>
      <c r="BL27" t="s">
        <v>32</v>
      </c>
      <c r="BO27" s="107">
        <v>0</v>
      </c>
      <c r="BQ27" t="s">
        <v>32</v>
      </c>
      <c r="BT27" s="107">
        <v>0</v>
      </c>
      <c r="BV27" t="s">
        <v>32</v>
      </c>
      <c r="BY27" s="107">
        <v>0</v>
      </c>
      <c r="CA27" t="s">
        <v>32</v>
      </c>
      <c r="CD27" s="107">
        <v>0</v>
      </c>
      <c r="CF27" t="s">
        <v>32</v>
      </c>
      <c r="CI27" s="107">
        <v>0</v>
      </c>
      <c r="CK27" t="s">
        <v>32</v>
      </c>
      <c r="CN27" s="107">
        <v>0</v>
      </c>
      <c r="CP27" t="s">
        <v>32</v>
      </c>
      <c r="CS27" s="107">
        <v>0</v>
      </c>
      <c r="CU27" t="s">
        <v>32</v>
      </c>
      <c r="CX27" s="107">
        <v>0</v>
      </c>
      <c r="CZ27" t="s">
        <v>32</v>
      </c>
      <c r="DC27" s="107">
        <v>0</v>
      </c>
      <c r="DE27" t="s">
        <v>32</v>
      </c>
      <c r="DH27" s="107">
        <v>0</v>
      </c>
      <c r="DJ27" t="s">
        <v>32</v>
      </c>
      <c r="DM27" s="107">
        <v>0</v>
      </c>
      <c r="DO27" t="s">
        <v>32</v>
      </c>
      <c r="DR27" s="107">
        <v>0</v>
      </c>
      <c r="DT27" t="s">
        <v>32</v>
      </c>
      <c r="DW27" s="107">
        <v>0</v>
      </c>
      <c r="DY27" t="s">
        <v>32</v>
      </c>
      <c r="EB27" s="107">
        <v>0</v>
      </c>
      <c r="ED27" t="s">
        <v>32</v>
      </c>
      <c r="EG27" s="107">
        <v>0</v>
      </c>
      <c r="EI27" t="s">
        <v>32</v>
      </c>
      <c r="EL27" s="107">
        <v>0</v>
      </c>
      <c r="EN27" t="s">
        <v>32</v>
      </c>
      <c r="EQ27" s="107">
        <v>0</v>
      </c>
      <c r="ES27" t="s">
        <v>32</v>
      </c>
      <c r="EV27" s="107">
        <v>0</v>
      </c>
      <c r="EX27" t="s">
        <v>32</v>
      </c>
      <c r="FA27" s="107">
        <v>0</v>
      </c>
      <c r="FC27" t="s">
        <v>32</v>
      </c>
      <c r="FF27" s="107">
        <v>0</v>
      </c>
      <c r="FH27" t="s">
        <v>32</v>
      </c>
      <c r="FK27" s="107">
        <v>0</v>
      </c>
      <c r="FM27" t="s">
        <v>32</v>
      </c>
      <c r="FP27" s="107">
        <v>0</v>
      </c>
      <c r="FR27" t="s">
        <v>32</v>
      </c>
      <c r="FU27" s="107">
        <v>0</v>
      </c>
      <c r="FW27" t="s">
        <v>32</v>
      </c>
      <c r="FZ27" s="107">
        <v>0</v>
      </c>
      <c r="GB27" t="s">
        <v>32</v>
      </c>
      <c r="GE27" s="107">
        <v>0</v>
      </c>
      <c r="GG27" t="s">
        <v>32</v>
      </c>
      <c r="GJ27" s="107">
        <v>0</v>
      </c>
      <c r="GL27" t="s">
        <v>32</v>
      </c>
      <c r="GO27" s="107">
        <v>0</v>
      </c>
      <c r="GQ27" t="s">
        <v>32</v>
      </c>
      <c r="GT27" s="107">
        <v>0</v>
      </c>
      <c r="GV27" t="s">
        <v>32</v>
      </c>
      <c r="GY27" s="107">
        <v>0</v>
      </c>
      <c r="HA27" t="s">
        <v>32</v>
      </c>
      <c r="HD27" s="107">
        <v>0</v>
      </c>
      <c r="HF27" t="s">
        <v>32</v>
      </c>
      <c r="HI27" s="107">
        <v>0</v>
      </c>
      <c r="HK27" t="s">
        <v>32</v>
      </c>
      <c r="HN27" s="107">
        <v>0</v>
      </c>
      <c r="HP27" t="s">
        <v>32</v>
      </c>
      <c r="HS27" s="107">
        <v>0</v>
      </c>
      <c r="HU27" t="s">
        <v>32</v>
      </c>
      <c r="HX27" s="107">
        <v>0</v>
      </c>
      <c r="HZ27" t="s">
        <v>32</v>
      </c>
      <c r="IC27" s="107">
        <v>0</v>
      </c>
      <c r="IE27" t="s">
        <v>32</v>
      </c>
      <c r="IH27" s="107">
        <v>0</v>
      </c>
      <c r="IJ27" t="s">
        <v>32</v>
      </c>
      <c r="IM27" s="107">
        <v>0</v>
      </c>
      <c r="IO27" t="s">
        <v>32</v>
      </c>
      <c r="IR27" s="107">
        <v>0</v>
      </c>
    </row>
    <row r="28" spans="2:252" ht="12.75">
      <c r="B28" s="99">
        <v>0</v>
      </c>
      <c r="D28" t="s">
        <v>196</v>
      </c>
      <c r="G28" s="99">
        <v>0</v>
      </c>
      <c r="I28" t="s">
        <v>196</v>
      </c>
      <c r="L28" s="99">
        <v>0</v>
      </c>
      <c r="N28" t="s">
        <v>196</v>
      </c>
      <c r="Q28" s="99">
        <v>0</v>
      </c>
      <c r="S28" t="s">
        <v>196</v>
      </c>
      <c r="V28" s="99">
        <v>0</v>
      </c>
      <c r="X28" t="s">
        <v>196</v>
      </c>
      <c r="AA28" s="99">
        <v>0</v>
      </c>
      <c r="AC28" t="s">
        <v>196</v>
      </c>
      <c r="AF28" s="99">
        <v>0</v>
      </c>
      <c r="AH28" t="s">
        <v>196</v>
      </c>
      <c r="AK28" s="99">
        <v>0</v>
      </c>
      <c r="AM28" t="s">
        <v>196</v>
      </c>
      <c r="AP28" s="99">
        <v>0</v>
      </c>
      <c r="AR28" t="s">
        <v>196</v>
      </c>
      <c r="AU28" s="99">
        <v>0</v>
      </c>
      <c r="AW28" t="s">
        <v>196</v>
      </c>
      <c r="AZ28" s="99">
        <v>0</v>
      </c>
      <c r="BB28" t="s">
        <v>196</v>
      </c>
      <c r="BE28" s="99">
        <v>0</v>
      </c>
      <c r="BG28" t="s">
        <v>196</v>
      </c>
      <c r="BJ28" s="99">
        <v>0</v>
      </c>
      <c r="BL28" t="s">
        <v>196</v>
      </c>
      <c r="BO28" s="99">
        <v>0</v>
      </c>
      <c r="BQ28" t="s">
        <v>196</v>
      </c>
      <c r="BT28" s="99">
        <v>0</v>
      </c>
      <c r="BV28" t="s">
        <v>196</v>
      </c>
      <c r="BY28" s="99">
        <v>0</v>
      </c>
      <c r="CA28" t="s">
        <v>196</v>
      </c>
      <c r="CD28" s="99">
        <v>0</v>
      </c>
      <c r="CF28" t="s">
        <v>196</v>
      </c>
      <c r="CI28" s="99">
        <v>0</v>
      </c>
      <c r="CK28" t="s">
        <v>196</v>
      </c>
      <c r="CN28" s="99">
        <v>0</v>
      </c>
      <c r="CP28" t="s">
        <v>196</v>
      </c>
      <c r="CS28" s="99">
        <v>0</v>
      </c>
      <c r="CU28" t="s">
        <v>196</v>
      </c>
      <c r="CX28" s="99">
        <v>0</v>
      </c>
      <c r="CZ28" t="s">
        <v>196</v>
      </c>
      <c r="DC28" s="99">
        <v>0</v>
      </c>
      <c r="DE28" t="s">
        <v>196</v>
      </c>
      <c r="DH28" s="99">
        <v>0</v>
      </c>
      <c r="DJ28" t="s">
        <v>196</v>
      </c>
      <c r="DM28" s="99">
        <v>0</v>
      </c>
      <c r="DO28" t="s">
        <v>196</v>
      </c>
      <c r="DR28" s="99">
        <v>0</v>
      </c>
      <c r="DT28" t="s">
        <v>196</v>
      </c>
      <c r="DW28" s="99">
        <v>0</v>
      </c>
      <c r="DY28" t="s">
        <v>196</v>
      </c>
      <c r="EB28" s="99">
        <v>0</v>
      </c>
      <c r="ED28" t="s">
        <v>196</v>
      </c>
      <c r="EG28" s="99">
        <v>0</v>
      </c>
      <c r="EI28" t="s">
        <v>196</v>
      </c>
      <c r="EL28" s="99">
        <v>0</v>
      </c>
      <c r="EN28" t="s">
        <v>196</v>
      </c>
      <c r="EQ28" s="99">
        <v>0</v>
      </c>
      <c r="ES28" t="s">
        <v>196</v>
      </c>
      <c r="EV28" s="99">
        <v>0</v>
      </c>
      <c r="EX28" t="s">
        <v>196</v>
      </c>
      <c r="FA28" s="99">
        <v>0</v>
      </c>
      <c r="FC28" t="s">
        <v>196</v>
      </c>
      <c r="FF28" s="99">
        <v>0</v>
      </c>
      <c r="FH28" t="s">
        <v>196</v>
      </c>
      <c r="FK28" s="99">
        <v>0</v>
      </c>
      <c r="FM28" t="s">
        <v>196</v>
      </c>
      <c r="FP28" s="99">
        <v>0</v>
      </c>
      <c r="FR28" t="s">
        <v>196</v>
      </c>
      <c r="FU28" s="99">
        <v>0</v>
      </c>
      <c r="FW28" t="s">
        <v>196</v>
      </c>
      <c r="FZ28" s="99">
        <v>0</v>
      </c>
      <c r="GB28" t="s">
        <v>196</v>
      </c>
      <c r="GE28" s="99">
        <v>0</v>
      </c>
      <c r="GG28" t="s">
        <v>196</v>
      </c>
      <c r="GJ28" s="99">
        <v>0</v>
      </c>
      <c r="GL28" t="s">
        <v>196</v>
      </c>
      <c r="GO28" s="99">
        <v>0</v>
      </c>
      <c r="GQ28" t="s">
        <v>196</v>
      </c>
      <c r="GT28" s="99">
        <v>0</v>
      </c>
      <c r="GV28" t="s">
        <v>196</v>
      </c>
      <c r="GY28" s="99">
        <v>0</v>
      </c>
      <c r="HA28" t="s">
        <v>196</v>
      </c>
      <c r="HD28" s="99">
        <v>0</v>
      </c>
      <c r="HF28" t="s">
        <v>196</v>
      </c>
      <c r="HI28" s="99">
        <v>0</v>
      </c>
      <c r="HK28" t="s">
        <v>196</v>
      </c>
      <c r="HN28" s="99">
        <v>0</v>
      </c>
      <c r="HP28" t="s">
        <v>196</v>
      </c>
      <c r="HS28" s="99">
        <v>0</v>
      </c>
      <c r="HU28" t="s">
        <v>196</v>
      </c>
      <c r="HX28" s="99">
        <v>0</v>
      </c>
      <c r="HZ28" t="s">
        <v>196</v>
      </c>
      <c r="IC28" s="99">
        <v>0</v>
      </c>
      <c r="IE28" t="s">
        <v>196</v>
      </c>
      <c r="IH28" s="99">
        <v>0</v>
      </c>
      <c r="IJ28" t="s">
        <v>196</v>
      </c>
      <c r="IM28" s="99">
        <v>0</v>
      </c>
      <c r="IO28" t="s">
        <v>196</v>
      </c>
      <c r="IR28" s="99">
        <v>0</v>
      </c>
    </row>
    <row r="29" spans="4:249" ht="12.75">
      <c r="D29" t="s">
        <v>196</v>
      </c>
      <c r="I29" t="s">
        <v>196</v>
      </c>
      <c r="N29" t="s">
        <v>196</v>
      </c>
      <c r="S29" t="s">
        <v>196</v>
      </c>
      <c r="X29" t="s">
        <v>196</v>
      </c>
      <c r="AC29" t="s">
        <v>196</v>
      </c>
      <c r="AH29" t="s">
        <v>196</v>
      </c>
      <c r="AM29" t="s">
        <v>196</v>
      </c>
      <c r="AR29" t="s">
        <v>196</v>
      </c>
      <c r="AW29" t="s">
        <v>196</v>
      </c>
      <c r="BB29" t="s">
        <v>196</v>
      </c>
      <c r="BG29" t="s">
        <v>196</v>
      </c>
      <c r="BL29" t="s">
        <v>196</v>
      </c>
      <c r="BQ29" t="s">
        <v>196</v>
      </c>
      <c r="BV29" t="s">
        <v>196</v>
      </c>
      <c r="CA29" t="s">
        <v>196</v>
      </c>
      <c r="CF29" t="s">
        <v>196</v>
      </c>
      <c r="CK29" t="s">
        <v>196</v>
      </c>
      <c r="CP29" t="s">
        <v>196</v>
      </c>
      <c r="CU29" t="s">
        <v>196</v>
      </c>
      <c r="CZ29" t="s">
        <v>196</v>
      </c>
      <c r="DE29" t="s">
        <v>196</v>
      </c>
      <c r="DJ29" t="s">
        <v>196</v>
      </c>
      <c r="DO29" t="s">
        <v>196</v>
      </c>
      <c r="DT29" t="s">
        <v>196</v>
      </c>
      <c r="DY29" t="s">
        <v>196</v>
      </c>
      <c r="ED29" t="s">
        <v>196</v>
      </c>
      <c r="EI29" t="s">
        <v>196</v>
      </c>
      <c r="EN29" t="s">
        <v>196</v>
      </c>
      <c r="ES29" t="s">
        <v>196</v>
      </c>
      <c r="EX29" t="s">
        <v>196</v>
      </c>
      <c r="FC29" t="s">
        <v>196</v>
      </c>
      <c r="FH29" t="s">
        <v>196</v>
      </c>
      <c r="FM29" t="s">
        <v>196</v>
      </c>
      <c r="FR29" t="s">
        <v>196</v>
      </c>
      <c r="FW29" t="s">
        <v>196</v>
      </c>
      <c r="GB29" t="s">
        <v>196</v>
      </c>
      <c r="GG29" t="s">
        <v>196</v>
      </c>
      <c r="GL29" t="s">
        <v>196</v>
      </c>
      <c r="GQ29" t="s">
        <v>196</v>
      </c>
      <c r="GV29" t="s">
        <v>196</v>
      </c>
      <c r="HA29" t="s">
        <v>196</v>
      </c>
      <c r="HF29" t="s">
        <v>196</v>
      </c>
      <c r="HK29" t="s">
        <v>196</v>
      </c>
      <c r="HP29" t="s">
        <v>196</v>
      </c>
      <c r="HU29" t="s">
        <v>196</v>
      </c>
      <c r="HZ29" t="s">
        <v>196</v>
      </c>
      <c r="IE29" t="s">
        <v>196</v>
      </c>
      <c r="IJ29" t="s">
        <v>196</v>
      </c>
      <c r="IO29" t="s">
        <v>196</v>
      </c>
    </row>
    <row r="31" spans="2:252" ht="12.75">
      <c r="B31" s="111">
        <f>SUM(B32:B34)</f>
        <v>0</v>
      </c>
      <c r="D31" t="s">
        <v>31</v>
      </c>
      <c r="G31" s="111">
        <f>SUM(G32:G34)</f>
        <v>0</v>
      </c>
      <c r="I31" t="s">
        <v>31</v>
      </c>
      <c r="L31" s="111">
        <f>SUM(L32:L34)</f>
        <v>0</v>
      </c>
      <c r="N31" t="s">
        <v>31</v>
      </c>
      <c r="Q31" s="111">
        <f>SUM(Q32:Q34)</f>
        <v>0</v>
      </c>
      <c r="S31" t="s">
        <v>31</v>
      </c>
      <c r="V31" s="111">
        <f>SUM(V32:V34)</f>
        <v>0</v>
      </c>
      <c r="X31" t="s">
        <v>31</v>
      </c>
      <c r="AA31" s="111">
        <f>SUM(AA32:AA34)</f>
        <v>0</v>
      </c>
      <c r="AC31" t="s">
        <v>31</v>
      </c>
      <c r="AF31" s="111">
        <f>SUM(AF32:AF34)</f>
        <v>0</v>
      </c>
      <c r="AH31" t="s">
        <v>31</v>
      </c>
      <c r="AK31" s="111">
        <f>SUM(AK32:AK34)</f>
        <v>0</v>
      </c>
      <c r="AM31" t="s">
        <v>31</v>
      </c>
      <c r="AP31" s="111">
        <f>SUM(AP32:AP34)</f>
        <v>0</v>
      </c>
      <c r="AR31" t="s">
        <v>31</v>
      </c>
      <c r="AU31" s="111">
        <f>SUM(AU32:AU34)</f>
        <v>0</v>
      </c>
      <c r="AW31" t="s">
        <v>31</v>
      </c>
      <c r="AZ31" s="111">
        <f>SUM(AZ32:AZ34)</f>
        <v>0</v>
      </c>
      <c r="BB31" t="s">
        <v>31</v>
      </c>
      <c r="BE31" s="111">
        <f>SUM(BE32:BE34)</f>
        <v>0</v>
      </c>
      <c r="BG31" t="s">
        <v>31</v>
      </c>
      <c r="BJ31" s="111">
        <f>SUM(BJ32:BJ34)</f>
        <v>0</v>
      </c>
      <c r="BL31" t="s">
        <v>31</v>
      </c>
      <c r="BO31" s="111">
        <f>SUM(BO32:BO34)</f>
        <v>0</v>
      </c>
      <c r="BQ31" t="s">
        <v>31</v>
      </c>
      <c r="BT31" s="111">
        <f>SUM(BT32:BT34)</f>
        <v>0</v>
      </c>
      <c r="BV31" t="s">
        <v>31</v>
      </c>
      <c r="BY31" s="111">
        <f>SUM(BY32:BY34)</f>
        <v>0</v>
      </c>
      <c r="CA31" t="s">
        <v>31</v>
      </c>
      <c r="CD31" s="111">
        <f>SUM(CD32:CD34)</f>
        <v>0</v>
      </c>
      <c r="CF31" t="s">
        <v>31</v>
      </c>
      <c r="CI31" s="111">
        <f>SUM(CI32:CI34)</f>
        <v>0</v>
      </c>
      <c r="CK31" t="s">
        <v>31</v>
      </c>
      <c r="CN31" s="111">
        <f>SUM(CN32:CN34)</f>
        <v>0</v>
      </c>
      <c r="CP31" t="s">
        <v>31</v>
      </c>
      <c r="CS31" s="111">
        <f>SUM(CS32:CS34)</f>
        <v>0</v>
      </c>
      <c r="CU31" t="s">
        <v>31</v>
      </c>
      <c r="CX31" s="111">
        <f>SUM(CX32:CX34)</f>
        <v>0</v>
      </c>
      <c r="CZ31" t="s">
        <v>31</v>
      </c>
      <c r="DC31" s="111">
        <f>SUM(DC32:DC34)</f>
        <v>0</v>
      </c>
      <c r="DE31" t="s">
        <v>31</v>
      </c>
      <c r="DH31" s="111">
        <f>SUM(DH32:DH34)</f>
        <v>0</v>
      </c>
      <c r="DJ31" t="s">
        <v>31</v>
      </c>
      <c r="DM31" s="111">
        <f>SUM(DM32:DM34)</f>
        <v>0</v>
      </c>
      <c r="DO31" t="s">
        <v>31</v>
      </c>
      <c r="DR31" s="111">
        <f>SUM(DR32:DR34)</f>
        <v>0</v>
      </c>
      <c r="DT31" t="s">
        <v>31</v>
      </c>
      <c r="DW31" s="111">
        <f>SUM(DW32:DW34)</f>
        <v>0</v>
      </c>
      <c r="DY31" t="s">
        <v>31</v>
      </c>
      <c r="EB31" s="111">
        <f>SUM(EB32:EB34)</f>
        <v>0</v>
      </c>
      <c r="ED31" t="s">
        <v>31</v>
      </c>
      <c r="EG31" s="111">
        <f>SUM(EG32:EG34)</f>
        <v>0</v>
      </c>
      <c r="EI31" t="s">
        <v>31</v>
      </c>
      <c r="EL31" s="111">
        <f>SUM(EL32:EL34)</f>
        <v>0</v>
      </c>
      <c r="EN31" t="s">
        <v>31</v>
      </c>
      <c r="EQ31" s="111">
        <f>SUM(EQ32:EQ34)</f>
        <v>0</v>
      </c>
      <c r="ES31" t="s">
        <v>31</v>
      </c>
      <c r="EV31" s="111">
        <f>SUM(EV32:EV34)</f>
        <v>0</v>
      </c>
      <c r="EX31" t="s">
        <v>31</v>
      </c>
      <c r="FA31" s="111">
        <f>SUM(FA32:FA34)</f>
        <v>0</v>
      </c>
      <c r="FC31" t="s">
        <v>31</v>
      </c>
      <c r="FF31" s="111">
        <f>SUM(FF32:FF34)</f>
        <v>0</v>
      </c>
      <c r="FH31" t="s">
        <v>31</v>
      </c>
      <c r="FK31" s="111">
        <f>SUM(FK32:FK34)</f>
        <v>0</v>
      </c>
      <c r="FM31" t="s">
        <v>31</v>
      </c>
      <c r="FP31" s="111">
        <f>SUM(FP32:FP34)</f>
        <v>0</v>
      </c>
      <c r="FR31" t="s">
        <v>31</v>
      </c>
      <c r="FU31" s="111">
        <f>SUM(FU32:FU34)</f>
        <v>0</v>
      </c>
      <c r="FW31" t="s">
        <v>31</v>
      </c>
      <c r="FZ31" s="111">
        <f>SUM(FZ32:FZ34)</f>
        <v>0</v>
      </c>
      <c r="GB31" t="s">
        <v>31</v>
      </c>
      <c r="GE31" s="111">
        <f>SUM(GE32:GE34)</f>
        <v>0</v>
      </c>
      <c r="GG31" t="s">
        <v>31</v>
      </c>
      <c r="GJ31" s="111">
        <f>SUM(GJ32:GJ34)</f>
        <v>0</v>
      </c>
      <c r="GL31" t="s">
        <v>31</v>
      </c>
      <c r="GO31" s="111">
        <f>SUM(GO32:GO34)</f>
        <v>0</v>
      </c>
      <c r="GQ31" t="s">
        <v>31</v>
      </c>
      <c r="GT31" s="111">
        <f>SUM(GT32:GT34)</f>
        <v>0</v>
      </c>
      <c r="GV31" t="s">
        <v>31</v>
      </c>
      <c r="GY31" s="111">
        <f>SUM(GY32:GY34)</f>
        <v>0</v>
      </c>
      <c r="HA31" t="s">
        <v>31</v>
      </c>
      <c r="HD31" s="111">
        <f>SUM(HD32:HD34)</f>
        <v>0</v>
      </c>
      <c r="HF31" t="s">
        <v>31</v>
      </c>
      <c r="HI31" s="111">
        <f>SUM(HI32:HI34)</f>
        <v>0</v>
      </c>
      <c r="HK31" t="s">
        <v>31</v>
      </c>
      <c r="HN31" s="111">
        <f>SUM(HN32:HN34)</f>
        <v>0</v>
      </c>
      <c r="HP31" t="s">
        <v>31</v>
      </c>
      <c r="HS31" s="111">
        <f>SUM(HS32:HS34)</f>
        <v>0</v>
      </c>
      <c r="HU31" t="s">
        <v>31</v>
      </c>
      <c r="HX31" s="111">
        <f>SUM(HX32:HX34)</f>
        <v>0</v>
      </c>
      <c r="HZ31" t="s">
        <v>31</v>
      </c>
      <c r="IC31" s="111">
        <f>SUM(IC32:IC34)</f>
        <v>0</v>
      </c>
      <c r="IE31" t="s">
        <v>31</v>
      </c>
      <c r="IH31" s="111">
        <f>SUM(IH32:IH34)</f>
        <v>0</v>
      </c>
      <c r="IJ31" t="s">
        <v>31</v>
      </c>
      <c r="IM31" s="111">
        <f>SUM(IM32:IM34)</f>
        <v>0</v>
      </c>
      <c r="IO31" t="s">
        <v>31</v>
      </c>
      <c r="IR31" s="111">
        <f>SUM(IR32:IR34)</f>
        <v>0</v>
      </c>
    </row>
    <row r="32" spans="2:252" ht="12.75">
      <c r="B32" s="105"/>
      <c r="G32" s="105"/>
      <c r="L32" s="105"/>
      <c r="Q32" s="105"/>
      <c r="V32" s="105"/>
      <c r="AA32" s="105"/>
      <c r="AF32" s="105"/>
      <c r="AK32" s="105"/>
      <c r="AP32" s="105"/>
      <c r="AU32" s="105"/>
      <c r="AZ32" s="105"/>
      <c r="BE32" s="105"/>
      <c r="BJ32" s="105"/>
      <c r="BO32" s="105"/>
      <c r="BT32" s="105"/>
      <c r="BY32" s="105"/>
      <c r="CD32" s="105"/>
      <c r="CI32" s="105"/>
      <c r="CN32" s="105"/>
      <c r="CS32" s="105"/>
      <c r="CX32" s="105"/>
      <c r="DC32" s="105"/>
      <c r="DH32" s="105"/>
      <c r="DM32" s="105"/>
      <c r="DR32" s="105"/>
      <c r="DW32" s="105"/>
      <c r="EB32" s="105"/>
      <c r="EG32" s="105"/>
      <c r="EL32" s="105"/>
      <c r="EQ32" s="105"/>
      <c r="EV32" s="105"/>
      <c r="FA32" s="105"/>
      <c r="FF32" s="105"/>
      <c r="FK32" s="105"/>
      <c r="FP32" s="105"/>
      <c r="FU32" s="105"/>
      <c r="FZ32" s="105"/>
      <c r="GE32" s="105"/>
      <c r="GJ32" s="105"/>
      <c r="GO32" s="105"/>
      <c r="GT32" s="105"/>
      <c r="GY32" s="105"/>
      <c r="HD32" s="105"/>
      <c r="HI32" s="105"/>
      <c r="HN32" s="105"/>
      <c r="HS32" s="105"/>
      <c r="HX32" s="105"/>
      <c r="IC32" s="105"/>
      <c r="IH32" s="105"/>
      <c r="IM32" s="105"/>
      <c r="IR32" s="105"/>
    </row>
    <row r="33" spans="2:252" ht="12.75">
      <c r="B33" s="112">
        <v>0</v>
      </c>
      <c r="D33" t="s">
        <v>29</v>
      </c>
      <c r="G33" s="112">
        <v>0</v>
      </c>
      <c r="I33" t="s">
        <v>29</v>
      </c>
      <c r="L33" s="112">
        <v>0</v>
      </c>
      <c r="N33" t="s">
        <v>29</v>
      </c>
      <c r="Q33" s="112">
        <v>0</v>
      </c>
      <c r="S33" t="s">
        <v>29</v>
      </c>
      <c r="V33" s="112">
        <v>0</v>
      </c>
      <c r="X33" t="s">
        <v>29</v>
      </c>
      <c r="AA33" s="112">
        <v>0</v>
      </c>
      <c r="AC33" t="s">
        <v>29</v>
      </c>
      <c r="AF33" s="112">
        <v>0</v>
      </c>
      <c r="AH33" t="s">
        <v>29</v>
      </c>
      <c r="AK33" s="112">
        <v>0</v>
      </c>
      <c r="AM33" t="s">
        <v>29</v>
      </c>
      <c r="AP33" s="112">
        <v>0</v>
      </c>
      <c r="AR33" t="s">
        <v>29</v>
      </c>
      <c r="AU33" s="112">
        <v>0</v>
      </c>
      <c r="AW33" t="s">
        <v>29</v>
      </c>
      <c r="AZ33" s="112">
        <v>0</v>
      </c>
      <c r="BB33" t="s">
        <v>29</v>
      </c>
      <c r="BE33" s="112">
        <v>0</v>
      </c>
      <c r="BG33" t="s">
        <v>29</v>
      </c>
      <c r="BJ33" s="112">
        <v>0</v>
      </c>
      <c r="BL33" t="s">
        <v>29</v>
      </c>
      <c r="BO33" s="112">
        <v>0</v>
      </c>
      <c r="BQ33" t="s">
        <v>29</v>
      </c>
      <c r="BT33" s="112">
        <v>0</v>
      </c>
      <c r="BV33" t="s">
        <v>29</v>
      </c>
      <c r="BY33" s="112">
        <v>0</v>
      </c>
      <c r="CA33" t="s">
        <v>29</v>
      </c>
      <c r="CD33" s="112">
        <v>0</v>
      </c>
      <c r="CF33" t="s">
        <v>29</v>
      </c>
      <c r="CI33" s="112">
        <v>0</v>
      </c>
      <c r="CK33" t="s">
        <v>29</v>
      </c>
      <c r="CN33" s="112">
        <v>0</v>
      </c>
      <c r="CP33" t="s">
        <v>29</v>
      </c>
      <c r="CS33" s="112">
        <v>0</v>
      </c>
      <c r="CU33" t="s">
        <v>29</v>
      </c>
      <c r="CX33" s="112">
        <v>0</v>
      </c>
      <c r="CZ33" t="s">
        <v>29</v>
      </c>
      <c r="DC33" s="112">
        <v>0</v>
      </c>
      <c r="DE33" t="s">
        <v>29</v>
      </c>
      <c r="DH33" s="112">
        <v>0</v>
      </c>
      <c r="DJ33" t="s">
        <v>29</v>
      </c>
      <c r="DM33" s="112">
        <v>0</v>
      </c>
      <c r="DO33" t="s">
        <v>29</v>
      </c>
      <c r="DR33" s="112">
        <v>0</v>
      </c>
      <c r="DT33" t="s">
        <v>29</v>
      </c>
      <c r="DW33" s="112">
        <v>0</v>
      </c>
      <c r="DY33" t="s">
        <v>29</v>
      </c>
      <c r="EB33" s="112">
        <v>0</v>
      </c>
      <c r="ED33" t="s">
        <v>29</v>
      </c>
      <c r="EG33" s="112">
        <v>0</v>
      </c>
      <c r="EI33" t="s">
        <v>29</v>
      </c>
      <c r="EL33" s="112">
        <v>0</v>
      </c>
      <c r="EN33" t="s">
        <v>29</v>
      </c>
      <c r="EQ33" s="112">
        <v>0</v>
      </c>
      <c r="ES33" t="s">
        <v>29</v>
      </c>
      <c r="EV33" s="112">
        <v>0</v>
      </c>
      <c r="EX33" t="s">
        <v>29</v>
      </c>
      <c r="FA33" s="112">
        <v>0</v>
      </c>
      <c r="FC33" t="s">
        <v>29</v>
      </c>
      <c r="FF33" s="112">
        <v>0</v>
      </c>
      <c r="FH33" t="s">
        <v>29</v>
      </c>
      <c r="FK33" s="112">
        <v>0</v>
      </c>
      <c r="FM33" t="s">
        <v>29</v>
      </c>
      <c r="FP33" s="112">
        <v>0</v>
      </c>
      <c r="FR33" t="s">
        <v>29</v>
      </c>
      <c r="FU33" s="112">
        <v>0</v>
      </c>
      <c r="FW33" t="s">
        <v>29</v>
      </c>
      <c r="FZ33" s="112">
        <v>0</v>
      </c>
      <c r="GB33" t="s">
        <v>29</v>
      </c>
      <c r="GE33" s="112">
        <v>0</v>
      </c>
      <c r="GG33" t="s">
        <v>29</v>
      </c>
      <c r="GJ33" s="112">
        <v>0</v>
      </c>
      <c r="GL33" t="s">
        <v>29</v>
      </c>
      <c r="GO33" s="112">
        <v>0</v>
      </c>
      <c r="GQ33" t="s">
        <v>29</v>
      </c>
      <c r="GT33" s="112">
        <v>0</v>
      </c>
      <c r="GV33" t="s">
        <v>29</v>
      </c>
      <c r="GY33" s="112">
        <v>0</v>
      </c>
      <c r="HA33" t="s">
        <v>29</v>
      </c>
      <c r="HD33" s="112">
        <v>0</v>
      </c>
      <c r="HF33" t="s">
        <v>29</v>
      </c>
      <c r="HI33" s="112">
        <v>0</v>
      </c>
      <c r="HK33" t="s">
        <v>29</v>
      </c>
      <c r="HN33" s="112">
        <v>0</v>
      </c>
      <c r="HP33" t="s">
        <v>29</v>
      </c>
      <c r="HS33" s="112">
        <v>0</v>
      </c>
      <c r="HU33" t="s">
        <v>29</v>
      </c>
      <c r="HX33" s="112">
        <v>0</v>
      </c>
      <c r="HZ33" t="s">
        <v>29</v>
      </c>
      <c r="IC33" s="112">
        <v>0</v>
      </c>
      <c r="IE33" t="s">
        <v>29</v>
      </c>
      <c r="IH33" s="112">
        <v>0</v>
      </c>
      <c r="IJ33" t="s">
        <v>29</v>
      </c>
      <c r="IM33" s="112">
        <v>0</v>
      </c>
      <c r="IO33" t="s">
        <v>29</v>
      </c>
      <c r="IR33" s="112">
        <v>0</v>
      </c>
    </row>
    <row r="34" spans="2:252" ht="12.75">
      <c r="B34" s="107">
        <v>0</v>
      </c>
      <c r="D34" t="s">
        <v>30</v>
      </c>
      <c r="G34" s="107">
        <v>0</v>
      </c>
      <c r="I34" t="s">
        <v>30</v>
      </c>
      <c r="L34" s="107">
        <v>0</v>
      </c>
      <c r="N34" t="s">
        <v>30</v>
      </c>
      <c r="Q34" s="107">
        <v>0</v>
      </c>
      <c r="S34" t="s">
        <v>30</v>
      </c>
      <c r="V34" s="107">
        <v>0</v>
      </c>
      <c r="X34" t="s">
        <v>30</v>
      </c>
      <c r="AA34" s="107">
        <v>0</v>
      </c>
      <c r="AC34" t="s">
        <v>30</v>
      </c>
      <c r="AF34" s="107">
        <v>0</v>
      </c>
      <c r="AH34" t="s">
        <v>30</v>
      </c>
      <c r="AK34" s="107">
        <v>0</v>
      </c>
      <c r="AM34" t="s">
        <v>30</v>
      </c>
      <c r="AP34" s="107">
        <v>0</v>
      </c>
      <c r="AR34" t="s">
        <v>30</v>
      </c>
      <c r="AU34" s="107">
        <v>0</v>
      </c>
      <c r="AW34" t="s">
        <v>30</v>
      </c>
      <c r="AZ34" s="107">
        <v>0</v>
      </c>
      <c r="BB34" t="s">
        <v>30</v>
      </c>
      <c r="BE34" s="107">
        <v>0</v>
      </c>
      <c r="BG34" t="s">
        <v>30</v>
      </c>
      <c r="BJ34" s="107">
        <v>0</v>
      </c>
      <c r="BL34" t="s">
        <v>30</v>
      </c>
      <c r="BO34" s="107">
        <v>0</v>
      </c>
      <c r="BQ34" t="s">
        <v>30</v>
      </c>
      <c r="BT34" s="107">
        <v>0</v>
      </c>
      <c r="BV34" t="s">
        <v>30</v>
      </c>
      <c r="BY34" s="107">
        <v>0</v>
      </c>
      <c r="CA34" t="s">
        <v>30</v>
      </c>
      <c r="CD34" s="107">
        <v>0</v>
      </c>
      <c r="CF34" t="s">
        <v>30</v>
      </c>
      <c r="CI34" s="107">
        <v>0</v>
      </c>
      <c r="CK34" t="s">
        <v>30</v>
      </c>
      <c r="CN34" s="107">
        <v>0</v>
      </c>
      <c r="CP34" t="s">
        <v>30</v>
      </c>
      <c r="CS34" s="107">
        <v>0</v>
      </c>
      <c r="CU34" t="s">
        <v>30</v>
      </c>
      <c r="CX34" s="107">
        <v>0</v>
      </c>
      <c r="CZ34" t="s">
        <v>30</v>
      </c>
      <c r="DC34" s="107">
        <v>0</v>
      </c>
      <c r="DE34" t="s">
        <v>30</v>
      </c>
      <c r="DH34" s="107">
        <v>0</v>
      </c>
      <c r="DJ34" t="s">
        <v>30</v>
      </c>
      <c r="DM34" s="107">
        <v>0</v>
      </c>
      <c r="DO34" t="s">
        <v>30</v>
      </c>
      <c r="DR34" s="107">
        <v>0</v>
      </c>
      <c r="DT34" t="s">
        <v>30</v>
      </c>
      <c r="DW34" s="107">
        <v>0</v>
      </c>
      <c r="DY34" t="s">
        <v>30</v>
      </c>
      <c r="EB34" s="107">
        <v>0</v>
      </c>
      <c r="ED34" t="s">
        <v>30</v>
      </c>
      <c r="EG34" s="107">
        <v>0</v>
      </c>
      <c r="EI34" t="s">
        <v>30</v>
      </c>
      <c r="EL34" s="107">
        <v>0</v>
      </c>
      <c r="EN34" t="s">
        <v>30</v>
      </c>
      <c r="EQ34" s="107">
        <v>0</v>
      </c>
      <c r="ES34" t="s">
        <v>30</v>
      </c>
      <c r="EV34" s="107">
        <v>0</v>
      </c>
      <c r="EX34" t="s">
        <v>30</v>
      </c>
      <c r="FA34" s="107">
        <v>0</v>
      </c>
      <c r="FC34" t="s">
        <v>30</v>
      </c>
      <c r="FF34" s="107">
        <v>0</v>
      </c>
      <c r="FH34" t="s">
        <v>30</v>
      </c>
      <c r="FK34" s="107">
        <v>0</v>
      </c>
      <c r="FM34" t="s">
        <v>30</v>
      </c>
      <c r="FP34" s="107">
        <v>0</v>
      </c>
      <c r="FR34" t="s">
        <v>30</v>
      </c>
      <c r="FU34" s="107">
        <v>0</v>
      </c>
      <c r="FW34" t="s">
        <v>30</v>
      </c>
      <c r="FZ34" s="107">
        <v>0</v>
      </c>
      <c r="GB34" t="s">
        <v>30</v>
      </c>
      <c r="GE34" s="107">
        <v>0</v>
      </c>
      <c r="GG34" t="s">
        <v>30</v>
      </c>
      <c r="GJ34" s="107">
        <v>0</v>
      </c>
      <c r="GL34" t="s">
        <v>30</v>
      </c>
      <c r="GO34" s="107">
        <v>0</v>
      </c>
      <c r="GQ34" t="s">
        <v>30</v>
      </c>
      <c r="GT34" s="107">
        <v>0</v>
      </c>
      <c r="GV34" t="s">
        <v>30</v>
      </c>
      <c r="GY34" s="107">
        <v>0</v>
      </c>
      <c r="HA34" t="s">
        <v>30</v>
      </c>
      <c r="HD34" s="107">
        <v>0</v>
      </c>
      <c r="HF34" t="s">
        <v>30</v>
      </c>
      <c r="HI34" s="107">
        <v>0</v>
      </c>
      <c r="HK34" t="s">
        <v>30</v>
      </c>
      <c r="HN34" s="107">
        <v>0</v>
      </c>
      <c r="HP34" t="s">
        <v>30</v>
      </c>
      <c r="HS34" s="107">
        <v>0</v>
      </c>
      <c r="HU34" t="s">
        <v>30</v>
      </c>
      <c r="HX34" s="107">
        <v>0</v>
      </c>
      <c r="HZ34" t="s">
        <v>30</v>
      </c>
      <c r="IC34" s="107">
        <v>0</v>
      </c>
      <c r="IE34" t="s">
        <v>30</v>
      </c>
      <c r="IH34" s="107">
        <v>0</v>
      </c>
      <c r="IJ34" t="s">
        <v>30</v>
      </c>
      <c r="IM34" s="107">
        <v>0</v>
      </c>
      <c r="IO34" t="s">
        <v>30</v>
      </c>
      <c r="IR34" s="107">
        <v>0</v>
      </c>
    </row>
    <row r="35" ht="13.5" thickBot="1"/>
    <row r="36" spans="2:252" ht="13.5" thickBot="1">
      <c r="B36" s="113">
        <f>SUM(B21,B23,B25)</f>
        <v>0</v>
      </c>
      <c r="G36" s="113">
        <f>SUM(G21,G23,G25)</f>
        <v>0</v>
      </c>
      <c r="L36" s="113">
        <f>SUM(L21,L23,L25)</f>
        <v>0</v>
      </c>
      <c r="Q36" s="113">
        <f>SUM(Q21,Q23,Q25)</f>
        <v>0</v>
      </c>
      <c r="V36" s="113">
        <f>SUM(V21,V23,V25)</f>
        <v>0</v>
      </c>
      <c r="AA36" s="113">
        <f>SUM(AA21,AA23,AA25)</f>
        <v>0</v>
      </c>
      <c r="AF36" s="113">
        <f>SUM(AF21,AF23,AF25)</f>
        <v>0</v>
      </c>
      <c r="AK36" s="113">
        <f>SUM(AK21,AK23,AK25)</f>
        <v>0</v>
      </c>
      <c r="AP36" s="113">
        <f>SUM(AP21,AP23,AP25)</f>
        <v>0</v>
      </c>
      <c r="AU36" s="113">
        <f>SUM(AU21,AU23,AU25)</f>
        <v>0</v>
      </c>
      <c r="AZ36" s="113">
        <f>SUM(AZ21,AZ23,AZ25)</f>
        <v>0</v>
      </c>
      <c r="BE36" s="113">
        <f>SUM(BE21,BE23,BE25)</f>
        <v>0</v>
      </c>
      <c r="BJ36" s="113">
        <f>SUM(BJ21,BJ23,BJ25)</f>
        <v>0</v>
      </c>
      <c r="BO36" s="113">
        <f>SUM(BO21,BO23,BO25)</f>
        <v>0</v>
      </c>
      <c r="BT36" s="113">
        <f>SUM(BT21,BT23,BT25)</f>
        <v>0</v>
      </c>
      <c r="BY36" s="113">
        <f>SUM(BY21,BY23,BY25)</f>
        <v>0</v>
      </c>
      <c r="CD36" s="113">
        <f>SUM(CD21,CD23,CD25)</f>
        <v>0</v>
      </c>
      <c r="CI36" s="113">
        <f>SUM(CI21,CI23,CI25)</f>
        <v>0</v>
      </c>
      <c r="CN36" s="113">
        <f>SUM(CN21,CN23,CN25)</f>
        <v>0</v>
      </c>
      <c r="CS36" s="113">
        <f>SUM(CS21,CS23,CS25)</f>
        <v>0</v>
      </c>
      <c r="CX36" s="113">
        <f>SUM(CX21,CX23,CX25)</f>
        <v>0</v>
      </c>
      <c r="DC36" s="113">
        <f>SUM(DC21,DC23,DC25)</f>
        <v>0</v>
      </c>
      <c r="DH36" s="113">
        <f>SUM(DH21,DH23,DH25)</f>
        <v>0</v>
      </c>
      <c r="DM36" s="113">
        <f>SUM(DM21,DM23,DM25)</f>
        <v>0</v>
      </c>
      <c r="DR36" s="113">
        <f>SUM(DR21,DR23,DR25)</f>
        <v>0</v>
      </c>
      <c r="DW36" s="113">
        <f>SUM(DW21,DW23,DW25)</f>
        <v>0</v>
      </c>
      <c r="EB36" s="113">
        <f>SUM(EB21,EB23,EB25)</f>
        <v>0</v>
      </c>
      <c r="EG36" s="113">
        <f>SUM(EG21,EG23,EG25)</f>
        <v>0</v>
      </c>
      <c r="EL36" s="113">
        <f>SUM(EL21,EL23,EL25)</f>
        <v>0</v>
      </c>
      <c r="EQ36" s="113">
        <f>SUM(EQ21,EQ23,EQ25)</f>
        <v>0</v>
      </c>
      <c r="EV36" s="113">
        <f>SUM(EV21,EV23,EV25)</f>
        <v>0</v>
      </c>
      <c r="FA36" s="113">
        <f>SUM(FA21,FA23,FA25)</f>
        <v>0</v>
      </c>
      <c r="FF36" s="113">
        <f>SUM(FF21,FF23,FF25)</f>
        <v>0</v>
      </c>
      <c r="FK36" s="113">
        <f>SUM(FK21,FK23,FK25)</f>
        <v>0</v>
      </c>
      <c r="FP36" s="113">
        <f>SUM(FP21,FP23,FP25)</f>
        <v>0</v>
      </c>
      <c r="FU36" s="113">
        <f>SUM(FU21,FU23,FU25)</f>
        <v>0</v>
      </c>
      <c r="FZ36" s="113">
        <f>SUM(FZ21,FZ23,FZ25)</f>
        <v>0</v>
      </c>
      <c r="GE36" s="113">
        <f>SUM(GE21,GE23,GE25)</f>
        <v>0</v>
      </c>
      <c r="GJ36" s="113">
        <f>SUM(GJ21,GJ23,GJ25)</f>
        <v>0</v>
      </c>
      <c r="GO36" s="113">
        <f>SUM(GO21,GO23,GO25)</f>
        <v>0</v>
      </c>
      <c r="GT36" s="113">
        <f>SUM(GT21,GT23,GT25)</f>
        <v>0</v>
      </c>
      <c r="GY36" s="113">
        <f>SUM(GY21,GY23,GY25)</f>
        <v>0</v>
      </c>
      <c r="HD36" s="113">
        <f>SUM(HD21,HD23,HD25)</f>
        <v>0</v>
      </c>
      <c r="HI36" s="113">
        <f>SUM(HI21,HI23,HI25)</f>
        <v>0</v>
      </c>
      <c r="HN36" s="113">
        <f>SUM(HN21,HN23,HN25)</f>
        <v>0</v>
      </c>
      <c r="HS36" s="113">
        <f>SUM(HS21,HS23,HS25)</f>
        <v>0</v>
      </c>
      <c r="HX36" s="113">
        <f>SUM(HX21,HX23,HX25)</f>
        <v>0</v>
      </c>
      <c r="IC36" s="113">
        <f>SUM(IC21,IC23,IC25)</f>
        <v>0</v>
      </c>
      <c r="IH36" s="113">
        <f>SUM(IH21,IH23,IH25)</f>
        <v>0</v>
      </c>
      <c r="IM36" s="113">
        <f>SUM(IM21,IM23,IM25)</f>
        <v>0</v>
      </c>
      <c r="IR36" s="113">
        <f>SUM(IR21,IR23,IR25)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R26"/>
  <sheetViews>
    <sheetView zoomScalePageLayoutView="0" workbookViewId="0" topLeftCell="A1">
      <pane xSplit="1" ySplit="4" topLeftCell="F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P24" sqref="FP24"/>
    </sheetView>
  </sheetViews>
  <sheetFormatPr defaultColWidth="9.140625" defaultRowHeight="12.75"/>
  <cols>
    <col min="1" max="1" width="35.28125" style="0" customWidth="1"/>
    <col min="2" max="2" width="13.421875" style="0" customWidth="1"/>
    <col min="3" max="174" width="14.7109375" style="261" customWidth="1"/>
  </cols>
  <sheetData>
    <row r="1" spans="1:174" ht="12.75">
      <c r="A1" s="173"/>
      <c r="S1" s="269"/>
      <c r="T1" s="270"/>
      <c r="U1" s="270"/>
      <c r="V1" s="271"/>
      <c r="W1" s="269"/>
      <c r="X1" s="270"/>
      <c r="Y1" s="270"/>
      <c r="Z1" s="271"/>
      <c r="AA1" s="269"/>
      <c r="AB1" s="270"/>
      <c r="AC1" s="270"/>
      <c r="AD1" s="271"/>
      <c r="AE1" s="269"/>
      <c r="AF1" s="270"/>
      <c r="AG1" s="270"/>
      <c r="AH1" s="271"/>
      <c r="AI1" s="269"/>
      <c r="AJ1" s="270"/>
      <c r="AK1" s="270"/>
      <c r="AL1" s="271"/>
      <c r="AM1" s="269"/>
      <c r="AN1" s="270"/>
      <c r="AO1" s="270"/>
      <c r="AP1" s="271"/>
      <c r="AQ1" s="269"/>
      <c r="AR1" s="270"/>
      <c r="AS1" s="270"/>
      <c r="AT1" s="271"/>
      <c r="AU1" s="269"/>
      <c r="AV1" s="270"/>
      <c r="AW1" s="270"/>
      <c r="AX1" s="271"/>
      <c r="AY1" s="269"/>
      <c r="AZ1" s="270"/>
      <c r="BA1" s="270"/>
      <c r="BB1" s="271"/>
      <c r="BC1" s="269"/>
      <c r="BD1" s="270"/>
      <c r="BE1" s="270"/>
      <c r="BF1" s="271"/>
      <c r="BG1" s="269"/>
      <c r="BH1" s="270"/>
      <c r="BI1" s="270"/>
      <c r="BJ1" s="271"/>
      <c r="BK1" s="269"/>
      <c r="BL1" s="270"/>
      <c r="BM1" s="270"/>
      <c r="BN1" s="271"/>
      <c r="BO1" s="269"/>
      <c r="BP1" s="270"/>
      <c r="BQ1" s="270"/>
      <c r="BR1" s="271"/>
      <c r="BS1" s="269"/>
      <c r="BT1" s="270"/>
      <c r="BU1" s="270"/>
      <c r="BV1" s="271"/>
      <c r="BW1" s="269"/>
      <c r="BX1" s="270"/>
      <c r="BY1" s="270"/>
      <c r="BZ1" s="271"/>
      <c r="CA1" s="269"/>
      <c r="CB1" s="270"/>
      <c r="CC1" s="270"/>
      <c r="CD1" s="271"/>
      <c r="CE1" s="269"/>
      <c r="CF1" s="270"/>
      <c r="CG1" s="270"/>
      <c r="CH1" s="271"/>
      <c r="CI1" s="269"/>
      <c r="CJ1" s="270"/>
      <c r="CK1" s="270"/>
      <c r="CL1" s="271"/>
      <c r="CM1" s="269"/>
      <c r="CN1" s="270"/>
      <c r="CO1" s="270"/>
      <c r="CP1" s="271"/>
      <c r="CQ1" s="269"/>
      <c r="CR1" s="270"/>
      <c r="CS1" s="270"/>
      <c r="CT1" s="271"/>
      <c r="CU1" s="269"/>
      <c r="CV1" s="270"/>
      <c r="CW1" s="270"/>
      <c r="CX1" s="271"/>
      <c r="CY1" s="269"/>
      <c r="CZ1" s="270"/>
      <c r="DA1" s="270"/>
      <c r="DB1" s="271"/>
      <c r="DC1" s="269"/>
      <c r="DD1" s="270"/>
      <c r="DE1" s="270"/>
      <c r="DF1" s="271"/>
      <c r="DG1" s="269"/>
      <c r="DH1" s="270"/>
      <c r="DI1" s="270"/>
      <c r="DJ1" s="271"/>
      <c r="DK1" s="269"/>
      <c r="DL1" s="270"/>
      <c r="DM1" s="270"/>
      <c r="DN1" s="271"/>
      <c r="DO1" s="269"/>
      <c r="DP1" s="270"/>
      <c r="DQ1" s="270"/>
      <c r="DR1" s="271"/>
      <c r="DS1" s="269"/>
      <c r="DT1" s="270"/>
      <c r="DU1" s="270"/>
      <c r="DV1" s="271"/>
      <c r="DW1" s="269"/>
      <c r="DX1" s="270"/>
      <c r="DY1" s="270"/>
      <c r="DZ1" s="271"/>
      <c r="EA1" s="269"/>
      <c r="EB1" s="270"/>
      <c r="EC1" s="270"/>
      <c r="ED1" s="271"/>
      <c r="EE1" s="269"/>
      <c r="EF1" s="270"/>
      <c r="EG1" s="270"/>
      <c r="EH1" s="271"/>
      <c r="EI1" s="269"/>
      <c r="EJ1" s="270"/>
      <c r="EK1" s="270"/>
      <c r="EL1" s="271"/>
      <c r="EM1" s="269"/>
      <c r="EN1" s="270"/>
      <c r="EO1" s="270"/>
      <c r="EP1" s="271"/>
      <c r="EQ1" s="269"/>
      <c r="ER1" s="270"/>
      <c r="ES1" s="270"/>
      <c r="ET1" s="271"/>
      <c r="EU1" s="269"/>
      <c r="EV1" s="270"/>
      <c r="EW1" s="270"/>
      <c r="EX1" s="271"/>
      <c r="EY1" s="269"/>
      <c r="EZ1" s="270"/>
      <c r="FA1" s="270"/>
      <c r="FB1" s="271"/>
      <c r="FC1" s="269"/>
      <c r="FD1" s="270"/>
      <c r="FE1" s="270"/>
      <c r="FF1" s="271"/>
      <c r="FG1" s="269"/>
      <c r="FH1" s="270"/>
      <c r="FI1" s="270"/>
      <c r="FJ1" s="271"/>
      <c r="FK1" s="269"/>
      <c r="FL1" s="270"/>
      <c r="FM1" s="270"/>
      <c r="FN1" s="271"/>
      <c r="FO1" s="269"/>
      <c r="FP1" s="270"/>
      <c r="FQ1" s="270"/>
      <c r="FR1" s="271"/>
    </row>
    <row r="2" spans="1:174" ht="12.75">
      <c r="A2" s="173"/>
      <c r="S2" s="272"/>
      <c r="V2" s="273"/>
      <c r="W2" s="272"/>
      <c r="Z2" s="273"/>
      <c r="AA2" s="272"/>
      <c r="AD2" s="273"/>
      <c r="AE2" s="272"/>
      <c r="AH2" s="273"/>
      <c r="AI2" s="272"/>
      <c r="AL2" s="273"/>
      <c r="AM2" s="272"/>
      <c r="AP2" s="273"/>
      <c r="AQ2" s="272"/>
      <c r="AT2" s="273"/>
      <c r="AU2" s="272"/>
      <c r="AX2" s="273"/>
      <c r="AY2" s="272"/>
      <c r="BB2" s="273"/>
      <c r="BC2" s="272"/>
      <c r="BF2" s="273"/>
      <c r="BG2" s="272"/>
      <c r="BJ2" s="273"/>
      <c r="BK2" s="272"/>
      <c r="BN2" s="273"/>
      <c r="BO2" s="272"/>
      <c r="BR2" s="273"/>
      <c r="BS2" s="272"/>
      <c r="BV2" s="273"/>
      <c r="BW2" s="272"/>
      <c r="BZ2" s="273"/>
      <c r="CA2" s="272"/>
      <c r="CD2" s="273"/>
      <c r="CE2" s="272"/>
      <c r="CH2" s="273"/>
      <c r="CI2" s="272"/>
      <c r="CL2" s="273"/>
      <c r="CM2" s="272"/>
      <c r="CP2" s="273"/>
      <c r="CQ2" s="272"/>
      <c r="CT2" s="273"/>
      <c r="CU2" s="272"/>
      <c r="CX2" s="273"/>
      <c r="CY2" s="272"/>
      <c r="DB2" s="273"/>
      <c r="DC2" s="272"/>
      <c r="DF2" s="273"/>
      <c r="DG2" s="272"/>
      <c r="DJ2" s="273"/>
      <c r="DK2" s="272"/>
      <c r="DN2" s="273"/>
      <c r="DO2" s="272"/>
      <c r="DR2" s="273"/>
      <c r="DS2" s="272"/>
      <c r="DV2" s="273"/>
      <c r="DW2" s="272"/>
      <c r="DZ2" s="273"/>
      <c r="EA2" s="272"/>
      <c r="ED2" s="273"/>
      <c r="EE2" s="272"/>
      <c r="EH2" s="273"/>
      <c r="EI2" s="272"/>
      <c r="EL2" s="273"/>
      <c r="EM2" s="272"/>
      <c r="EP2" s="273"/>
      <c r="EQ2" s="272"/>
      <c r="ET2" s="273"/>
      <c r="EU2" s="272"/>
      <c r="EX2" s="273"/>
      <c r="EY2" s="272"/>
      <c r="FB2" s="273"/>
      <c r="FC2" s="272"/>
      <c r="FF2" s="273"/>
      <c r="FG2" s="272"/>
      <c r="FJ2" s="273"/>
      <c r="FK2" s="272"/>
      <c r="FN2" s="273"/>
      <c r="FO2" s="272"/>
      <c r="FR2" s="273"/>
    </row>
    <row r="3" spans="1:174" s="259" customFormat="1" ht="12.75">
      <c r="A3" s="258"/>
      <c r="B3" s="262" t="s">
        <v>4</v>
      </c>
      <c r="C3" s="262" t="s">
        <v>44</v>
      </c>
      <c r="D3" s="262" t="s">
        <v>215</v>
      </c>
      <c r="E3" s="262" t="s">
        <v>82</v>
      </c>
      <c r="F3" s="262" t="s">
        <v>4</v>
      </c>
      <c r="G3" s="262" t="s">
        <v>44</v>
      </c>
      <c r="H3" s="262" t="s">
        <v>215</v>
      </c>
      <c r="I3" s="262" t="s">
        <v>82</v>
      </c>
      <c r="J3" s="262" t="s">
        <v>4</v>
      </c>
      <c r="K3" s="262" t="s">
        <v>44</v>
      </c>
      <c r="L3" s="262" t="s">
        <v>215</v>
      </c>
      <c r="M3" s="262" t="s">
        <v>82</v>
      </c>
      <c r="N3" s="262" t="s">
        <v>4</v>
      </c>
      <c r="O3" s="262" t="s">
        <v>44</v>
      </c>
      <c r="P3" s="262" t="s">
        <v>215</v>
      </c>
      <c r="Q3" s="262" t="s">
        <v>82</v>
      </c>
      <c r="R3" s="267" t="s">
        <v>4</v>
      </c>
      <c r="S3" s="262" t="s">
        <v>44</v>
      </c>
      <c r="T3" s="262" t="s">
        <v>215</v>
      </c>
      <c r="U3" s="262" t="s">
        <v>82</v>
      </c>
      <c r="V3" s="262" t="s">
        <v>4</v>
      </c>
      <c r="W3" s="262" t="s">
        <v>44</v>
      </c>
      <c r="X3" s="262" t="s">
        <v>215</v>
      </c>
      <c r="Y3" s="262" t="s">
        <v>82</v>
      </c>
      <c r="Z3" s="262" t="s">
        <v>4</v>
      </c>
      <c r="AA3" s="262" t="s">
        <v>44</v>
      </c>
      <c r="AB3" s="262" t="s">
        <v>215</v>
      </c>
      <c r="AC3" s="262" t="s">
        <v>82</v>
      </c>
      <c r="AD3" s="262" t="s">
        <v>4</v>
      </c>
      <c r="AE3" s="262" t="s">
        <v>44</v>
      </c>
      <c r="AF3" s="262" t="s">
        <v>215</v>
      </c>
      <c r="AG3" s="262" t="s">
        <v>82</v>
      </c>
      <c r="AH3" s="262" t="s">
        <v>4</v>
      </c>
      <c r="AI3" s="262" t="s">
        <v>44</v>
      </c>
      <c r="AJ3" s="262" t="s">
        <v>215</v>
      </c>
      <c r="AK3" s="262" t="s">
        <v>82</v>
      </c>
      <c r="AL3" s="262" t="s">
        <v>4</v>
      </c>
      <c r="AM3" s="262" t="s">
        <v>44</v>
      </c>
      <c r="AN3" s="262" t="s">
        <v>215</v>
      </c>
      <c r="AO3" s="262" t="s">
        <v>82</v>
      </c>
      <c r="AP3" s="262" t="s">
        <v>4</v>
      </c>
      <c r="AQ3" s="262" t="s">
        <v>44</v>
      </c>
      <c r="AR3" s="262" t="s">
        <v>215</v>
      </c>
      <c r="AS3" s="262" t="s">
        <v>82</v>
      </c>
      <c r="AT3" s="262" t="s">
        <v>4</v>
      </c>
      <c r="AU3" s="262" t="s">
        <v>44</v>
      </c>
      <c r="AV3" s="262" t="s">
        <v>215</v>
      </c>
      <c r="AW3" s="262" t="s">
        <v>82</v>
      </c>
      <c r="AX3" s="262" t="s">
        <v>4</v>
      </c>
      <c r="AY3" s="262" t="s">
        <v>44</v>
      </c>
      <c r="AZ3" s="262" t="s">
        <v>215</v>
      </c>
      <c r="BA3" s="262" t="s">
        <v>82</v>
      </c>
      <c r="BB3" s="262" t="s">
        <v>4</v>
      </c>
      <c r="BC3" s="262" t="s">
        <v>44</v>
      </c>
      <c r="BD3" s="262" t="s">
        <v>215</v>
      </c>
      <c r="BE3" s="262" t="s">
        <v>82</v>
      </c>
      <c r="BF3" s="262" t="s">
        <v>4</v>
      </c>
      <c r="BG3" s="262" t="s">
        <v>44</v>
      </c>
      <c r="BH3" s="262" t="s">
        <v>215</v>
      </c>
      <c r="BI3" s="262" t="s">
        <v>82</v>
      </c>
      <c r="BJ3" s="262" t="s">
        <v>4</v>
      </c>
      <c r="BK3" s="262" t="s">
        <v>44</v>
      </c>
      <c r="BL3" s="262" t="s">
        <v>215</v>
      </c>
      <c r="BM3" s="262" t="s">
        <v>82</v>
      </c>
      <c r="BN3" s="262" t="s">
        <v>4</v>
      </c>
      <c r="BO3" s="262" t="s">
        <v>44</v>
      </c>
      <c r="BP3" s="262" t="s">
        <v>215</v>
      </c>
      <c r="BQ3" s="262" t="s">
        <v>82</v>
      </c>
      <c r="BR3" s="262" t="s">
        <v>4</v>
      </c>
      <c r="BS3" s="262" t="s">
        <v>44</v>
      </c>
      <c r="BT3" s="262" t="s">
        <v>215</v>
      </c>
      <c r="BU3" s="262" t="s">
        <v>82</v>
      </c>
      <c r="BV3" s="262" t="s">
        <v>4</v>
      </c>
      <c r="BW3" s="262" t="s">
        <v>44</v>
      </c>
      <c r="BX3" s="262" t="s">
        <v>215</v>
      </c>
      <c r="BY3" s="262" t="s">
        <v>82</v>
      </c>
      <c r="BZ3" s="262" t="s">
        <v>4</v>
      </c>
      <c r="CA3" s="262" t="s">
        <v>44</v>
      </c>
      <c r="CB3" s="262" t="s">
        <v>215</v>
      </c>
      <c r="CC3" s="262" t="s">
        <v>82</v>
      </c>
      <c r="CD3" s="262" t="s">
        <v>4</v>
      </c>
      <c r="CE3" s="262" t="s">
        <v>44</v>
      </c>
      <c r="CF3" s="262" t="s">
        <v>215</v>
      </c>
      <c r="CG3" s="262" t="s">
        <v>82</v>
      </c>
      <c r="CH3" s="262" t="s">
        <v>4</v>
      </c>
      <c r="CI3" s="262" t="s">
        <v>44</v>
      </c>
      <c r="CJ3" s="262" t="s">
        <v>215</v>
      </c>
      <c r="CK3" s="262" t="s">
        <v>82</v>
      </c>
      <c r="CL3" s="262" t="s">
        <v>4</v>
      </c>
      <c r="CM3" s="262" t="s">
        <v>44</v>
      </c>
      <c r="CN3" s="262" t="s">
        <v>215</v>
      </c>
      <c r="CO3" s="262" t="s">
        <v>82</v>
      </c>
      <c r="CP3" s="262" t="s">
        <v>4</v>
      </c>
      <c r="CQ3" s="262" t="s">
        <v>44</v>
      </c>
      <c r="CR3" s="262" t="s">
        <v>215</v>
      </c>
      <c r="CS3" s="262" t="s">
        <v>82</v>
      </c>
      <c r="CT3" s="262" t="s">
        <v>4</v>
      </c>
      <c r="CU3" s="262" t="s">
        <v>44</v>
      </c>
      <c r="CV3" s="262" t="s">
        <v>215</v>
      </c>
      <c r="CW3" s="262" t="s">
        <v>82</v>
      </c>
      <c r="CX3" s="262" t="s">
        <v>4</v>
      </c>
      <c r="CY3" s="262" t="s">
        <v>44</v>
      </c>
      <c r="CZ3" s="262" t="s">
        <v>215</v>
      </c>
      <c r="DA3" s="262" t="s">
        <v>82</v>
      </c>
      <c r="DB3" s="262" t="s">
        <v>4</v>
      </c>
      <c r="DC3" s="262" t="s">
        <v>44</v>
      </c>
      <c r="DD3" s="262" t="s">
        <v>215</v>
      </c>
      <c r="DE3" s="262" t="s">
        <v>82</v>
      </c>
      <c r="DF3" s="262" t="s">
        <v>4</v>
      </c>
      <c r="DG3" s="262" t="s">
        <v>44</v>
      </c>
      <c r="DH3" s="262" t="s">
        <v>215</v>
      </c>
      <c r="DI3" s="262" t="s">
        <v>82</v>
      </c>
      <c r="DJ3" s="262" t="s">
        <v>4</v>
      </c>
      <c r="DK3" s="262" t="s">
        <v>44</v>
      </c>
      <c r="DL3" s="262" t="s">
        <v>215</v>
      </c>
      <c r="DM3" s="262" t="s">
        <v>82</v>
      </c>
      <c r="DN3" s="262" t="s">
        <v>4</v>
      </c>
      <c r="DO3" s="262" t="s">
        <v>44</v>
      </c>
      <c r="DP3" s="262" t="s">
        <v>215</v>
      </c>
      <c r="DQ3" s="262" t="s">
        <v>82</v>
      </c>
      <c r="DR3" s="262" t="s">
        <v>4</v>
      </c>
      <c r="DS3" s="262" t="s">
        <v>44</v>
      </c>
      <c r="DT3" s="262" t="s">
        <v>215</v>
      </c>
      <c r="DU3" s="262" t="s">
        <v>82</v>
      </c>
      <c r="DV3" s="262" t="s">
        <v>4</v>
      </c>
      <c r="DW3" s="262" t="s">
        <v>44</v>
      </c>
      <c r="DX3" s="262" t="s">
        <v>215</v>
      </c>
      <c r="DY3" s="262" t="s">
        <v>82</v>
      </c>
      <c r="DZ3" s="262" t="s">
        <v>4</v>
      </c>
      <c r="EA3" s="262" t="s">
        <v>44</v>
      </c>
      <c r="EB3" s="262" t="s">
        <v>215</v>
      </c>
      <c r="EC3" s="262" t="s">
        <v>82</v>
      </c>
      <c r="ED3" s="262" t="s">
        <v>4</v>
      </c>
      <c r="EE3" s="262" t="s">
        <v>44</v>
      </c>
      <c r="EF3" s="262" t="s">
        <v>215</v>
      </c>
      <c r="EG3" s="262" t="s">
        <v>82</v>
      </c>
      <c r="EH3" s="262" t="s">
        <v>4</v>
      </c>
      <c r="EI3" s="262" t="s">
        <v>44</v>
      </c>
      <c r="EJ3" s="262" t="s">
        <v>215</v>
      </c>
      <c r="EK3" s="262" t="s">
        <v>82</v>
      </c>
      <c r="EL3" s="262" t="s">
        <v>4</v>
      </c>
      <c r="EM3" s="262" t="s">
        <v>44</v>
      </c>
      <c r="EN3" s="262" t="s">
        <v>215</v>
      </c>
      <c r="EO3" s="262" t="s">
        <v>82</v>
      </c>
      <c r="EP3" s="262" t="s">
        <v>4</v>
      </c>
      <c r="EQ3" s="262" t="s">
        <v>44</v>
      </c>
      <c r="ER3" s="262" t="s">
        <v>215</v>
      </c>
      <c r="ES3" s="262" t="s">
        <v>82</v>
      </c>
      <c r="ET3" s="262" t="s">
        <v>4</v>
      </c>
      <c r="EU3" s="262" t="s">
        <v>44</v>
      </c>
      <c r="EV3" s="262" t="s">
        <v>215</v>
      </c>
      <c r="EW3" s="262" t="s">
        <v>82</v>
      </c>
      <c r="EX3" s="262" t="s">
        <v>4</v>
      </c>
      <c r="EY3" s="262" t="s">
        <v>44</v>
      </c>
      <c r="EZ3" s="262" t="s">
        <v>215</v>
      </c>
      <c r="FA3" s="262" t="s">
        <v>82</v>
      </c>
      <c r="FB3" s="262" t="s">
        <v>4</v>
      </c>
      <c r="FC3" s="262" t="s">
        <v>44</v>
      </c>
      <c r="FD3" s="262" t="s">
        <v>215</v>
      </c>
      <c r="FE3" s="262" t="s">
        <v>82</v>
      </c>
      <c r="FF3" s="262" t="s">
        <v>4</v>
      </c>
      <c r="FG3" s="262" t="s">
        <v>44</v>
      </c>
      <c r="FH3" s="262" t="s">
        <v>215</v>
      </c>
      <c r="FI3" s="262" t="s">
        <v>82</v>
      </c>
      <c r="FJ3" s="262" t="s">
        <v>4</v>
      </c>
      <c r="FK3" s="262" t="s">
        <v>44</v>
      </c>
      <c r="FL3" s="262" t="s">
        <v>215</v>
      </c>
      <c r="FM3" s="262" t="s">
        <v>82</v>
      </c>
      <c r="FN3" s="262" t="s">
        <v>4</v>
      </c>
      <c r="FO3" s="262" t="s">
        <v>44</v>
      </c>
      <c r="FP3" s="262" t="s">
        <v>215</v>
      </c>
      <c r="FQ3" s="262" t="s">
        <v>82</v>
      </c>
      <c r="FR3" s="262" t="s">
        <v>4</v>
      </c>
    </row>
    <row r="4" spans="1:174" s="259" customFormat="1" ht="12.75">
      <c r="A4" s="260"/>
      <c r="B4" s="263">
        <v>42551</v>
      </c>
      <c r="C4" s="264"/>
      <c r="D4" s="264"/>
      <c r="E4" s="264" t="s">
        <v>81</v>
      </c>
      <c r="F4" s="263">
        <v>42582</v>
      </c>
      <c r="G4" s="264"/>
      <c r="H4" s="264"/>
      <c r="I4" s="264" t="s">
        <v>81</v>
      </c>
      <c r="J4" s="263">
        <v>42613</v>
      </c>
      <c r="K4" s="264"/>
      <c r="L4" s="264"/>
      <c r="M4" s="264" t="s">
        <v>81</v>
      </c>
      <c r="N4" s="263">
        <v>42643</v>
      </c>
      <c r="O4" s="264"/>
      <c r="P4" s="264"/>
      <c r="Q4" s="264" t="s">
        <v>81</v>
      </c>
      <c r="R4" s="268">
        <v>42674</v>
      </c>
      <c r="S4" s="264"/>
      <c r="T4" s="264"/>
      <c r="U4" s="264" t="s">
        <v>81</v>
      </c>
      <c r="V4" s="263">
        <v>42704</v>
      </c>
      <c r="W4" s="264"/>
      <c r="X4" s="264"/>
      <c r="Y4" s="264" t="s">
        <v>81</v>
      </c>
      <c r="Z4" s="263">
        <v>42735</v>
      </c>
      <c r="AA4" s="264"/>
      <c r="AB4" s="264"/>
      <c r="AC4" s="264" t="s">
        <v>81</v>
      </c>
      <c r="AD4" s="263" t="s">
        <v>455</v>
      </c>
      <c r="AE4" s="264"/>
      <c r="AF4" s="264"/>
      <c r="AG4" s="264" t="s">
        <v>81</v>
      </c>
      <c r="AH4" s="263" t="s">
        <v>459</v>
      </c>
      <c r="AI4" s="264"/>
      <c r="AJ4" s="264"/>
      <c r="AK4" s="264" t="s">
        <v>81</v>
      </c>
      <c r="AL4" s="263" t="s">
        <v>461</v>
      </c>
      <c r="AM4" s="264"/>
      <c r="AN4" s="264"/>
      <c r="AO4" s="264" t="s">
        <v>81</v>
      </c>
      <c r="AP4" s="263" t="s">
        <v>466</v>
      </c>
      <c r="AQ4" s="264"/>
      <c r="AR4" s="264"/>
      <c r="AS4" s="264" t="s">
        <v>81</v>
      </c>
      <c r="AT4" s="263" t="s">
        <v>470</v>
      </c>
      <c r="AU4" s="264"/>
      <c r="AV4" s="264"/>
      <c r="AW4" s="264" t="s">
        <v>81</v>
      </c>
      <c r="AX4" s="263" t="s">
        <v>474</v>
      </c>
      <c r="AY4" s="264"/>
      <c r="AZ4" s="264"/>
      <c r="BA4" s="264" t="s">
        <v>81</v>
      </c>
      <c r="BB4" s="263" t="s">
        <v>482</v>
      </c>
      <c r="BC4" s="264"/>
      <c r="BD4" s="264"/>
      <c r="BE4" s="264" t="s">
        <v>81</v>
      </c>
      <c r="BF4" s="263" t="s">
        <v>485</v>
      </c>
      <c r="BG4" s="264"/>
      <c r="BH4" s="264"/>
      <c r="BI4" s="264" t="s">
        <v>81</v>
      </c>
      <c r="BJ4" s="263" t="s">
        <v>502</v>
      </c>
      <c r="BK4" s="264"/>
      <c r="BL4" s="264"/>
      <c r="BM4" s="264" t="s">
        <v>81</v>
      </c>
      <c r="BN4" s="263" t="s">
        <v>500</v>
      </c>
      <c r="BO4" s="264"/>
      <c r="BP4" s="264"/>
      <c r="BQ4" s="264" t="s">
        <v>81</v>
      </c>
      <c r="BR4" s="263" t="s">
        <v>504</v>
      </c>
      <c r="BS4" s="264"/>
      <c r="BT4" s="264"/>
      <c r="BU4" s="264" t="s">
        <v>81</v>
      </c>
      <c r="BV4" s="263" t="s">
        <v>508</v>
      </c>
      <c r="BW4" s="264"/>
      <c r="BX4" s="264"/>
      <c r="BY4" s="264" t="s">
        <v>81</v>
      </c>
      <c r="BZ4" s="263" t="s">
        <v>514</v>
      </c>
      <c r="CA4" s="264"/>
      <c r="CB4" s="264"/>
      <c r="CC4" s="264" t="s">
        <v>81</v>
      </c>
      <c r="CD4" s="263" t="s">
        <v>515</v>
      </c>
      <c r="CE4" s="264"/>
      <c r="CF4" s="264"/>
      <c r="CG4" s="264" t="s">
        <v>81</v>
      </c>
      <c r="CH4" s="263" t="s">
        <v>521</v>
      </c>
      <c r="CI4" s="264"/>
      <c r="CJ4" s="264"/>
      <c r="CK4" s="264" t="s">
        <v>81</v>
      </c>
      <c r="CL4" s="263" t="s">
        <v>525</v>
      </c>
      <c r="CM4" s="264"/>
      <c r="CN4" s="264"/>
      <c r="CO4" s="264" t="s">
        <v>81</v>
      </c>
      <c r="CP4" s="263" t="s">
        <v>529</v>
      </c>
      <c r="CQ4" s="264"/>
      <c r="CR4" s="264"/>
      <c r="CS4" s="264" t="s">
        <v>81</v>
      </c>
      <c r="CT4" s="263" t="s">
        <v>533</v>
      </c>
      <c r="CU4" s="264"/>
      <c r="CV4" s="264"/>
      <c r="CW4" s="264" t="s">
        <v>81</v>
      </c>
      <c r="CX4" s="263" t="s">
        <v>544</v>
      </c>
      <c r="CY4" s="264"/>
      <c r="CZ4" s="264"/>
      <c r="DA4" s="264" t="s">
        <v>81</v>
      </c>
      <c r="DB4" s="263" t="s">
        <v>545</v>
      </c>
      <c r="DC4" s="264"/>
      <c r="DD4" s="264"/>
      <c r="DE4" s="264" t="s">
        <v>81</v>
      </c>
      <c r="DF4" s="263" t="s">
        <v>555</v>
      </c>
      <c r="DG4" s="264"/>
      <c r="DH4" s="264"/>
      <c r="DI4" s="264" t="s">
        <v>81</v>
      </c>
      <c r="DJ4" s="263" t="s">
        <v>552</v>
      </c>
      <c r="DK4" s="264"/>
      <c r="DL4" s="264"/>
      <c r="DM4" s="264" t="s">
        <v>81</v>
      </c>
      <c r="DN4" s="263" t="s">
        <v>557</v>
      </c>
      <c r="DO4" s="264"/>
      <c r="DP4" s="264"/>
      <c r="DQ4" s="264" t="s">
        <v>81</v>
      </c>
      <c r="DR4" s="263" t="s">
        <v>560</v>
      </c>
      <c r="DS4" s="264"/>
      <c r="DT4" s="264"/>
      <c r="DU4" s="264" t="s">
        <v>81</v>
      </c>
      <c r="DV4" s="263" t="s">
        <v>561</v>
      </c>
      <c r="DW4" s="264"/>
      <c r="DX4" s="264"/>
      <c r="DY4" s="264" t="s">
        <v>81</v>
      </c>
      <c r="DZ4" s="263" t="s">
        <v>565</v>
      </c>
      <c r="EA4" s="264"/>
      <c r="EB4" s="264"/>
      <c r="EC4" s="264" t="s">
        <v>81</v>
      </c>
      <c r="ED4" s="263" t="s">
        <v>576</v>
      </c>
      <c r="EE4" s="264"/>
      <c r="EF4" s="264"/>
      <c r="EG4" s="264" t="s">
        <v>81</v>
      </c>
      <c r="EH4" s="263" t="s">
        <v>577</v>
      </c>
      <c r="EI4" s="264"/>
      <c r="EJ4" s="264"/>
      <c r="EK4" s="264" t="s">
        <v>81</v>
      </c>
      <c r="EL4" s="263" t="s">
        <v>579</v>
      </c>
      <c r="EM4" s="264"/>
      <c r="EN4" s="264"/>
      <c r="EO4" s="264" t="s">
        <v>81</v>
      </c>
      <c r="EP4" s="263" t="s">
        <v>583</v>
      </c>
      <c r="EQ4" s="264"/>
      <c r="ER4" s="264"/>
      <c r="ES4" s="264" t="s">
        <v>81</v>
      </c>
      <c r="ET4" s="263" t="s">
        <v>591</v>
      </c>
      <c r="EU4" s="264"/>
      <c r="EV4" s="264"/>
      <c r="EW4" s="264" t="s">
        <v>81</v>
      </c>
      <c r="EX4" s="263" t="s">
        <v>592</v>
      </c>
      <c r="EY4" s="264"/>
      <c r="EZ4" s="264"/>
      <c r="FA4" s="264" t="s">
        <v>81</v>
      </c>
      <c r="FB4" s="263" t="s">
        <v>589</v>
      </c>
      <c r="FC4" s="264"/>
      <c r="FD4" s="264"/>
      <c r="FE4" s="264" t="s">
        <v>81</v>
      </c>
      <c r="FF4" s="263" t="s">
        <v>597</v>
      </c>
      <c r="FG4" s="264"/>
      <c r="FH4" s="264"/>
      <c r="FI4" s="264" t="s">
        <v>81</v>
      </c>
      <c r="FJ4" s="263" t="s">
        <v>602</v>
      </c>
      <c r="FK4" s="264"/>
      <c r="FL4" s="264"/>
      <c r="FM4" s="264" t="s">
        <v>81</v>
      </c>
      <c r="FN4" s="263" t="s">
        <v>604</v>
      </c>
      <c r="FO4" s="264"/>
      <c r="FP4" s="264"/>
      <c r="FQ4" s="264" t="s">
        <v>81</v>
      </c>
      <c r="FR4" s="263" t="s">
        <v>607</v>
      </c>
    </row>
    <row r="5" spans="1:174" ht="12.75">
      <c r="A5" s="307" t="s">
        <v>569</v>
      </c>
      <c r="B5" s="44"/>
      <c r="S5" s="272"/>
      <c r="V5" s="273"/>
      <c r="W5" s="272"/>
      <c r="Z5" s="273"/>
      <c r="AA5" s="272"/>
      <c r="AD5" s="273"/>
      <c r="AE5" s="272"/>
      <c r="AH5" s="273"/>
      <c r="AI5" s="272"/>
      <c r="AL5" s="273"/>
      <c r="AM5" s="272"/>
      <c r="AP5" s="273"/>
      <c r="AQ5" s="272"/>
      <c r="AT5" s="273"/>
      <c r="AU5" s="272"/>
      <c r="AX5" s="273"/>
      <c r="AY5" s="272"/>
      <c r="BB5" s="273"/>
      <c r="BC5" s="272"/>
      <c r="BF5" s="273"/>
      <c r="BG5" s="272"/>
      <c r="BJ5" s="273"/>
      <c r="BK5" s="272"/>
      <c r="BN5" s="273"/>
      <c r="BO5" s="272"/>
      <c r="BR5" s="273"/>
      <c r="BS5" s="272"/>
      <c r="BV5" s="273"/>
      <c r="BW5" s="272"/>
      <c r="BZ5" s="273"/>
      <c r="CA5" s="272"/>
      <c r="CD5" s="273"/>
      <c r="CE5" s="272"/>
      <c r="CH5" s="273"/>
      <c r="CI5" s="272"/>
      <c r="CL5" s="273"/>
      <c r="CM5" s="272"/>
      <c r="CP5" s="273"/>
      <c r="CQ5" s="272"/>
      <c r="CT5" s="273"/>
      <c r="CU5" s="272"/>
      <c r="CX5" s="273"/>
      <c r="CY5" s="272"/>
      <c r="DB5" s="273"/>
      <c r="DC5" s="272"/>
      <c r="DF5" s="273"/>
      <c r="DG5" s="272"/>
      <c r="DJ5" s="273"/>
      <c r="DK5" s="272"/>
      <c r="DN5" s="273"/>
      <c r="DO5" s="272"/>
      <c r="DR5" s="273"/>
      <c r="DS5" s="272"/>
      <c r="DV5" s="273"/>
      <c r="DW5" s="272"/>
      <c r="DZ5" s="273"/>
      <c r="EA5" s="272"/>
      <c r="ED5" s="273"/>
      <c r="EE5" s="272"/>
      <c r="EH5" s="273"/>
      <c r="EI5" s="272"/>
      <c r="EL5" s="273"/>
      <c r="EM5" s="272"/>
      <c r="EP5" s="273"/>
      <c r="EQ5" s="272"/>
      <c r="ET5" s="273"/>
      <c r="EU5" s="272"/>
      <c r="EX5" s="273"/>
      <c r="EY5" s="272"/>
      <c r="FB5" s="273"/>
      <c r="FC5" s="272"/>
      <c r="FF5" s="273"/>
      <c r="FG5" s="272"/>
      <c r="FJ5" s="273"/>
      <c r="FK5" s="272"/>
      <c r="FN5" s="273"/>
      <c r="FO5" s="272"/>
      <c r="FR5" s="273"/>
    </row>
    <row r="6" spans="1:174" ht="13.5" thickBot="1">
      <c r="A6" s="308" t="s">
        <v>568</v>
      </c>
      <c r="B6" s="44">
        <v>4905294.140000004</v>
      </c>
      <c r="C6" s="239">
        <v>15762.5</v>
      </c>
      <c r="D6" s="178">
        <v>0</v>
      </c>
      <c r="E6" s="179">
        <v>0</v>
      </c>
      <c r="F6" s="265">
        <f>B6+C6+E6</f>
        <v>4921056.640000004</v>
      </c>
      <c r="G6" s="239">
        <v>15762.5</v>
      </c>
      <c r="H6" s="178">
        <v>0</v>
      </c>
      <c r="I6" s="179">
        <v>0</v>
      </c>
      <c r="J6" s="265">
        <f>F6+G6+I6</f>
        <v>4936819.140000004</v>
      </c>
      <c r="K6" s="239">
        <v>15762.5</v>
      </c>
      <c r="L6" s="178">
        <v>0</v>
      </c>
      <c r="M6" s="179">
        <v>-1736.84</v>
      </c>
      <c r="N6" s="265">
        <f>J6+K6+M6</f>
        <v>4950844.8000000045</v>
      </c>
      <c r="O6" s="239">
        <v>15762.5</v>
      </c>
      <c r="P6" s="178">
        <v>0</v>
      </c>
      <c r="Q6" s="179">
        <v>-15380</v>
      </c>
      <c r="R6" s="265">
        <f>N6+O6+Q6</f>
        <v>4951227.3000000045</v>
      </c>
      <c r="S6" s="274">
        <v>15762.5</v>
      </c>
      <c r="T6" s="178">
        <v>0</v>
      </c>
      <c r="U6" s="179">
        <v>-105657.08</v>
      </c>
      <c r="V6" s="282">
        <f>R6+S6+U6</f>
        <v>4861332.720000004</v>
      </c>
      <c r="W6" s="274">
        <v>15762.5</v>
      </c>
      <c r="X6" s="178">
        <v>0</v>
      </c>
      <c r="Y6" s="179">
        <v>0</v>
      </c>
      <c r="Z6" s="282">
        <f>V6+W6+Y6</f>
        <v>4877095.220000004</v>
      </c>
      <c r="AA6" s="274">
        <v>15762.5</v>
      </c>
      <c r="AB6" s="178">
        <v>0</v>
      </c>
      <c r="AC6" s="179">
        <v>0</v>
      </c>
      <c r="AD6" s="282">
        <f>Z6+AA6+AC6</f>
        <v>4892857.720000004</v>
      </c>
      <c r="AE6" s="274">
        <v>15762.5</v>
      </c>
      <c r="AF6" s="178">
        <v>0</v>
      </c>
      <c r="AG6" s="179">
        <v>-50299.69</v>
      </c>
      <c r="AH6" s="282">
        <f>AD6+AE6+AG6</f>
        <v>4858320.530000004</v>
      </c>
      <c r="AI6" s="274">
        <v>15762.5</v>
      </c>
      <c r="AJ6" s="178">
        <v>0</v>
      </c>
      <c r="AK6" s="179">
        <v>42943.44</v>
      </c>
      <c r="AL6" s="282">
        <f>AH6+AI6+AK6</f>
        <v>4917026.470000004</v>
      </c>
      <c r="AM6" s="274">
        <v>15762.5</v>
      </c>
      <c r="AN6" s="178">
        <v>0</v>
      </c>
      <c r="AO6" s="179">
        <v>0</v>
      </c>
      <c r="AP6" s="282">
        <f>AL6+AM6+AO6</f>
        <v>4932788.970000004</v>
      </c>
      <c r="AQ6" s="274">
        <v>15762.5</v>
      </c>
      <c r="AR6" s="178">
        <v>0</v>
      </c>
      <c r="AS6" s="179">
        <v>0</v>
      </c>
      <c r="AT6" s="282">
        <f>AP6+AQ6+AS6</f>
        <v>4948551.470000004</v>
      </c>
      <c r="AU6" s="274">
        <v>15762.5</v>
      </c>
      <c r="AV6" s="178">
        <v>0</v>
      </c>
      <c r="AW6" s="179">
        <f>-257968.53-2192.98</f>
        <v>-260161.51</v>
      </c>
      <c r="AX6" s="282">
        <f>AT6+AU6+AW6</f>
        <v>4704152.460000005</v>
      </c>
      <c r="AY6" s="274">
        <v>15762.5</v>
      </c>
      <c r="AZ6" s="178">
        <v>0</v>
      </c>
      <c r="BA6" s="179">
        <v>0</v>
      </c>
      <c r="BB6" s="282">
        <f>AX6+AY6+BA6</f>
        <v>4719914.960000005</v>
      </c>
      <c r="BC6" s="274">
        <v>15762.5</v>
      </c>
      <c r="BD6" s="178">
        <v>0</v>
      </c>
      <c r="BE6" s="179">
        <v>0</v>
      </c>
      <c r="BF6" s="282">
        <f>BB6+BC6+BE6</f>
        <v>4735677.460000005</v>
      </c>
      <c r="BG6" s="274">
        <v>15762.5</v>
      </c>
      <c r="BH6" s="178">
        <v>0</v>
      </c>
      <c r="BI6" s="179">
        <v>0</v>
      </c>
      <c r="BJ6" s="282">
        <f>BF6+BG6+BI6</f>
        <v>4751439.960000005</v>
      </c>
      <c r="BK6" s="274">
        <v>15762.5</v>
      </c>
      <c r="BL6" s="178">
        <v>0</v>
      </c>
      <c r="BM6" s="179">
        <v>0</v>
      </c>
      <c r="BN6" s="282">
        <f>BJ6+BK6+BM6</f>
        <v>4767202.460000005</v>
      </c>
      <c r="BO6" s="274">
        <v>15762.5</v>
      </c>
      <c r="BP6" s="178">
        <v>0</v>
      </c>
      <c r="BQ6" s="179">
        <v>-72186.83</v>
      </c>
      <c r="BR6" s="282">
        <f>BN6+BO6+BQ6</f>
        <v>4710778.130000005</v>
      </c>
      <c r="BS6" s="274">
        <v>15762.5</v>
      </c>
      <c r="BT6" s="178">
        <v>0</v>
      </c>
      <c r="BU6" s="179">
        <v>0</v>
      </c>
      <c r="BV6" s="282">
        <f>BR6+BS6+BU6</f>
        <v>4726540.630000005</v>
      </c>
      <c r="BW6" s="274">
        <v>15762.5</v>
      </c>
      <c r="BX6" s="178">
        <v>0</v>
      </c>
      <c r="BY6" s="179">
        <v>0</v>
      </c>
      <c r="BZ6" s="282">
        <f>BV6+BW6+BY6</f>
        <v>4742303.130000005</v>
      </c>
      <c r="CA6" s="274">
        <v>15762.5</v>
      </c>
      <c r="CB6" s="178">
        <v>0</v>
      </c>
      <c r="CC6" s="179">
        <v>-22057.39</v>
      </c>
      <c r="CD6" s="282">
        <f>BZ6+CA6+CC6</f>
        <v>4736008.240000005</v>
      </c>
      <c r="CE6" s="274">
        <v>15762.5</v>
      </c>
      <c r="CF6" s="178">
        <v>0</v>
      </c>
      <c r="CG6" s="179">
        <v>0</v>
      </c>
      <c r="CH6" s="282">
        <f>CD6+CE6+CG6</f>
        <v>4751770.740000005</v>
      </c>
      <c r="CI6" s="274">
        <v>15762.5</v>
      </c>
      <c r="CJ6" s="178">
        <v>0</v>
      </c>
      <c r="CK6" s="179">
        <v>-432129.69</v>
      </c>
      <c r="CL6" s="282">
        <f>CH6+CI6+CK6</f>
        <v>4335403.5500000045</v>
      </c>
      <c r="CM6" s="274">
        <v>15762.5</v>
      </c>
      <c r="CN6" s="178">
        <v>0</v>
      </c>
      <c r="CO6" s="179">
        <v>0</v>
      </c>
      <c r="CP6" s="282">
        <f>CL6+CM6+CO6</f>
        <v>4351166.0500000045</v>
      </c>
      <c r="CQ6" s="274">
        <f>15762.5+966841.84</f>
        <v>982604.34</v>
      </c>
      <c r="CR6" s="178">
        <v>0</v>
      </c>
      <c r="CS6" s="179">
        <v>-86999.31</v>
      </c>
      <c r="CT6" s="282">
        <f>CP6+CQ6+CS6</f>
        <v>5246771.080000005</v>
      </c>
      <c r="CU6" s="274">
        <v>67000</v>
      </c>
      <c r="CV6" s="178">
        <v>0</v>
      </c>
      <c r="CW6" s="179">
        <v>0</v>
      </c>
      <c r="CX6" s="282">
        <f>CT6+CU6+CW6</f>
        <v>5313771.080000005</v>
      </c>
      <c r="CY6" s="274">
        <v>67000</v>
      </c>
      <c r="CZ6" s="178">
        <v>0</v>
      </c>
      <c r="DA6" s="179">
        <v>0</v>
      </c>
      <c r="DB6" s="282">
        <f>CX6+CY6+DA6</f>
        <v>5380771.080000005</v>
      </c>
      <c r="DC6" s="274">
        <v>67000</v>
      </c>
      <c r="DD6" s="178">
        <v>0</v>
      </c>
      <c r="DE6" s="179">
        <v>0</v>
      </c>
      <c r="DF6" s="282">
        <f>DB6+DC6+DE6</f>
        <v>5447771.080000005</v>
      </c>
      <c r="DG6" s="274">
        <v>67000</v>
      </c>
      <c r="DH6" s="178">
        <v>0</v>
      </c>
      <c r="DI6" s="179">
        <v>-200501.48</v>
      </c>
      <c r="DJ6" s="282">
        <f>DF6+DG6+DI6</f>
        <v>5314269.600000004</v>
      </c>
      <c r="DK6" s="274">
        <v>67000</v>
      </c>
      <c r="DL6" s="178">
        <v>0</v>
      </c>
      <c r="DM6" s="179">
        <v>0</v>
      </c>
      <c r="DN6" s="282">
        <f>DJ6+DK6+DM6</f>
        <v>5381269.600000004</v>
      </c>
      <c r="DO6" s="274">
        <v>67000</v>
      </c>
      <c r="DP6" s="178">
        <v>0</v>
      </c>
      <c r="DQ6" s="179">
        <v>-70160</v>
      </c>
      <c r="DR6" s="282">
        <f>DN6+DO6+DQ6</f>
        <v>5378109.600000004</v>
      </c>
      <c r="DS6" s="274">
        <v>67000</v>
      </c>
      <c r="DT6" s="178">
        <v>0</v>
      </c>
      <c r="DU6" s="179">
        <v>0</v>
      </c>
      <c r="DV6" s="282">
        <f>DR6+DS6+DU6</f>
        <v>5445109.600000004</v>
      </c>
      <c r="DW6" s="274">
        <v>67000</v>
      </c>
      <c r="DX6" s="178">
        <v>0</v>
      </c>
      <c r="DY6" s="179">
        <v>0</v>
      </c>
      <c r="DZ6" s="282">
        <f>DV6+DW6+DY6</f>
        <v>5512109.600000004</v>
      </c>
      <c r="EA6" s="274">
        <v>67000</v>
      </c>
      <c r="EB6" s="178">
        <v>0</v>
      </c>
      <c r="EC6" s="179">
        <v>0</v>
      </c>
      <c r="ED6" s="282">
        <f>DZ6+EA6+EC6</f>
        <v>5579109.600000004</v>
      </c>
      <c r="EE6" s="274">
        <v>67000</v>
      </c>
      <c r="EF6" s="178">
        <v>0</v>
      </c>
      <c r="EG6" s="179">
        <v>-25652.18</v>
      </c>
      <c r="EH6" s="282">
        <f>ED6+EE6+EG6</f>
        <v>5620457.420000005</v>
      </c>
      <c r="EI6" s="274">
        <v>67000</v>
      </c>
      <c r="EJ6" s="178">
        <v>0</v>
      </c>
      <c r="EK6" s="179">
        <v>-77699.19</v>
      </c>
      <c r="EL6" s="282">
        <f>EH6+EI6+EK6</f>
        <v>5609758.230000004</v>
      </c>
      <c r="EM6" s="274">
        <v>67000</v>
      </c>
      <c r="EN6" s="178">
        <v>0</v>
      </c>
      <c r="EO6" s="179">
        <v>-361796.69</v>
      </c>
      <c r="EP6" s="282">
        <f>EL6+EM6+EO6</f>
        <v>5314961.540000004</v>
      </c>
      <c r="EQ6" s="274">
        <v>67000</v>
      </c>
      <c r="ER6" s="178">
        <v>0</v>
      </c>
      <c r="ES6" s="179">
        <v>0</v>
      </c>
      <c r="ET6" s="282">
        <f>EP6+EQ6+ES6</f>
        <v>5381961.540000004</v>
      </c>
      <c r="EU6" s="274">
        <v>67000</v>
      </c>
      <c r="EV6" s="178">
        <v>0</v>
      </c>
      <c r="EW6" s="179">
        <v>0</v>
      </c>
      <c r="EX6" s="282">
        <f>ET6+EU6+EW6</f>
        <v>5448961.540000004</v>
      </c>
      <c r="EY6" s="274">
        <v>67000</v>
      </c>
      <c r="EZ6" s="178">
        <v>0</v>
      </c>
      <c r="FA6" s="179">
        <v>0</v>
      </c>
      <c r="FB6" s="282">
        <f>EX6+EY6+FA6</f>
        <v>5515961.540000004</v>
      </c>
      <c r="FC6" s="274">
        <v>67000</v>
      </c>
      <c r="FD6" s="178">
        <v>0</v>
      </c>
      <c r="FE6" s="179">
        <v>0</v>
      </c>
      <c r="FF6" s="282">
        <f>FB6+FC6+FE6</f>
        <v>5582961.540000004</v>
      </c>
      <c r="FG6" s="274">
        <v>67000</v>
      </c>
      <c r="FH6" s="178">
        <v>0</v>
      </c>
      <c r="FI6" s="179">
        <v>0</v>
      </c>
      <c r="FJ6" s="282">
        <f>FF6+FG6+FI6</f>
        <v>5649961.540000004</v>
      </c>
      <c r="FK6" s="274">
        <v>67000</v>
      </c>
      <c r="FL6" s="178">
        <v>0</v>
      </c>
      <c r="FM6" s="179">
        <v>0</v>
      </c>
      <c r="FN6" s="282">
        <f>FJ6+FK6+FM6</f>
        <v>5716961.540000004</v>
      </c>
      <c r="FO6" s="274">
        <v>67000</v>
      </c>
      <c r="FP6" s="178">
        <v>0</v>
      </c>
      <c r="FQ6" s="179">
        <v>0</v>
      </c>
      <c r="FR6" s="282">
        <f>FN6+FO6+FQ6</f>
        <v>5783961.540000004</v>
      </c>
    </row>
    <row r="7" spans="1:174" ht="13.5" thickTop="1">
      <c r="A7" s="173"/>
      <c r="B7" s="44"/>
      <c r="C7" s="173"/>
      <c r="D7" s="173"/>
      <c r="E7" s="173"/>
      <c r="G7" s="173"/>
      <c r="H7" s="173"/>
      <c r="I7" s="173"/>
      <c r="K7" s="173"/>
      <c r="L7" s="173"/>
      <c r="M7" s="173"/>
      <c r="O7" s="173"/>
      <c r="P7" s="173"/>
      <c r="Q7" s="173"/>
      <c r="S7" s="275"/>
      <c r="T7" s="173"/>
      <c r="U7" s="173"/>
      <c r="V7" s="273"/>
      <c r="W7" s="275"/>
      <c r="X7" s="173"/>
      <c r="Y7" s="173"/>
      <c r="Z7" s="273"/>
      <c r="AA7" s="275"/>
      <c r="AB7" s="173"/>
      <c r="AC7" s="173"/>
      <c r="AD7" s="273"/>
      <c r="AE7" s="275"/>
      <c r="AF7" s="173"/>
      <c r="AG7" s="173"/>
      <c r="AH7" s="273"/>
      <c r="AI7" s="275"/>
      <c r="AJ7" s="173"/>
      <c r="AK7" s="173"/>
      <c r="AL7" s="273"/>
      <c r="AM7" s="275"/>
      <c r="AN7" s="173"/>
      <c r="AO7" s="173"/>
      <c r="AP7" s="273"/>
      <c r="AQ7" s="275"/>
      <c r="AR7" s="173"/>
      <c r="AS7" s="173"/>
      <c r="AT7" s="273"/>
      <c r="AU7" s="275"/>
      <c r="AV7" s="173"/>
      <c r="AW7" s="173"/>
      <c r="AX7" s="273"/>
      <c r="AY7" s="275"/>
      <c r="AZ7" s="173"/>
      <c r="BA7" s="173"/>
      <c r="BB7" s="273"/>
      <c r="BC7" s="275"/>
      <c r="BD7" s="173"/>
      <c r="BE7" s="173"/>
      <c r="BF7" s="273"/>
      <c r="BG7" s="275"/>
      <c r="BH7" s="173"/>
      <c r="BI7" s="173"/>
      <c r="BJ7" s="273"/>
      <c r="BK7" s="275"/>
      <c r="BL7" s="173"/>
      <c r="BM7" s="173"/>
      <c r="BN7" s="273"/>
      <c r="BO7" s="275"/>
      <c r="BP7" s="173"/>
      <c r="BQ7" s="173"/>
      <c r="BR7" s="273"/>
      <c r="BS7" s="275"/>
      <c r="BT7" s="173"/>
      <c r="BU7" s="173"/>
      <c r="BV7" s="273"/>
      <c r="BW7" s="275"/>
      <c r="BX7" s="173"/>
      <c r="BY7" s="173"/>
      <c r="BZ7" s="273"/>
      <c r="CA7" s="275"/>
      <c r="CB7" s="173"/>
      <c r="CC7" s="173"/>
      <c r="CD7" s="273"/>
      <c r="CE7" s="275"/>
      <c r="CF7" s="173"/>
      <c r="CG7" s="173"/>
      <c r="CH7" s="273"/>
      <c r="CI7" s="275"/>
      <c r="CJ7" s="173"/>
      <c r="CK7" s="173"/>
      <c r="CL7" s="273"/>
      <c r="CM7" s="275"/>
      <c r="CN7" s="173"/>
      <c r="CO7" s="173"/>
      <c r="CP7" s="273"/>
      <c r="CQ7" s="275"/>
      <c r="CR7" s="173"/>
      <c r="CS7" s="173"/>
      <c r="CT7" s="273"/>
      <c r="CU7" s="275"/>
      <c r="CV7" s="173"/>
      <c r="CW7" s="173"/>
      <c r="CX7" s="273"/>
      <c r="CY7" s="275"/>
      <c r="CZ7" s="173"/>
      <c r="DA7" s="173"/>
      <c r="DB7" s="273"/>
      <c r="DC7" s="275"/>
      <c r="DD7" s="173"/>
      <c r="DE7" s="173"/>
      <c r="DF7" s="273"/>
      <c r="DG7" s="275"/>
      <c r="DH7" s="173"/>
      <c r="DI7" s="173"/>
      <c r="DJ7" s="273"/>
      <c r="DK7" s="275"/>
      <c r="DL7" s="173"/>
      <c r="DM7" s="173"/>
      <c r="DN7" s="273"/>
      <c r="DO7" s="275"/>
      <c r="DP7" s="173"/>
      <c r="DQ7" s="173"/>
      <c r="DR7" s="273"/>
      <c r="DS7" s="275"/>
      <c r="DT7" s="173"/>
      <c r="DU7" s="173"/>
      <c r="DV7" s="273"/>
      <c r="DW7" s="275"/>
      <c r="DX7" s="173"/>
      <c r="DY7" s="173"/>
      <c r="DZ7" s="273"/>
      <c r="EA7" s="275"/>
      <c r="EB7" s="173"/>
      <c r="EC7" s="173"/>
      <c r="ED7" s="273"/>
      <c r="EE7" s="275"/>
      <c r="EF7" s="173"/>
      <c r="EG7" s="173"/>
      <c r="EH7" s="273"/>
      <c r="EI7" s="275"/>
      <c r="EJ7" s="173"/>
      <c r="EK7" s="173"/>
      <c r="EL7" s="273"/>
      <c r="EM7" s="275"/>
      <c r="EN7" s="173"/>
      <c r="EO7" s="173"/>
      <c r="EP7" s="273"/>
      <c r="EQ7" s="275"/>
      <c r="ER7" s="173"/>
      <c r="ES7" s="173"/>
      <c r="ET7" s="273"/>
      <c r="EU7" s="275"/>
      <c r="EV7" s="173"/>
      <c r="EW7" s="173"/>
      <c r="EX7" s="273"/>
      <c r="EY7" s="275"/>
      <c r="EZ7" s="173"/>
      <c r="FA7" s="173"/>
      <c r="FB7" s="273"/>
      <c r="FC7" s="275"/>
      <c r="FD7" s="173"/>
      <c r="FE7" s="173"/>
      <c r="FF7" s="273"/>
      <c r="FG7" s="275"/>
      <c r="FH7" s="173"/>
      <c r="FI7" s="173"/>
      <c r="FJ7" s="273"/>
      <c r="FK7" s="275"/>
      <c r="FL7" s="173"/>
      <c r="FM7" s="173"/>
      <c r="FN7" s="273"/>
      <c r="FO7" s="275"/>
      <c r="FP7" s="173"/>
      <c r="FQ7" s="173"/>
      <c r="FR7" s="273"/>
    </row>
    <row r="8" spans="1:174" ht="12.75">
      <c r="A8" s="173"/>
      <c r="B8" s="44"/>
      <c r="C8" s="173"/>
      <c r="D8" s="173"/>
      <c r="E8" s="173"/>
      <c r="G8" s="173"/>
      <c r="H8" s="173"/>
      <c r="I8" s="173"/>
      <c r="K8" s="173"/>
      <c r="L8" s="173"/>
      <c r="M8" s="173"/>
      <c r="O8" s="173"/>
      <c r="P8" s="173"/>
      <c r="Q8" s="173"/>
      <c r="S8" s="275"/>
      <c r="T8" s="173"/>
      <c r="U8" s="173"/>
      <c r="V8" s="273"/>
      <c r="W8" s="275"/>
      <c r="X8" s="173"/>
      <c r="Y8" s="173"/>
      <c r="Z8" s="273"/>
      <c r="AA8" s="275"/>
      <c r="AB8" s="173"/>
      <c r="AC8" s="173"/>
      <c r="AD8" s="273"/>
      <c r="AE8" s="275"/>
      <c r="AF8" s="173"/>
      <c r="AG8" s="173"/>
      <c r="AH8" s="273"/>
      <c r="AI8" s="275"/>
      <c r="AJ8" s="173"/>
      <c r="AK8" s="173"/>
      <c r="AL8" s="273"/>
      <c r="AM8" s="275"/>
      <c r="AN8" s="173"/>
      <c r="AO8" s="173"/>
      <c r="AP8" s="273"/>
      <c r="AQ8" s="275"/>
      <c r="AR8" s="173"/>
      <c r="AS8" s="173"/>
      <c r="AT8" s="273"/>
      <c r="AU8" s="275"/>
      <c r="AV8" s="173"/>
      <c r="AW8" s="173"/>
      <c r="AX8" s="273"/>
      <c r="AY8" s="275"/>
      <c r="AZ8" s="173"/>
      <c r="BA8" s="173"/>
      <c r="BB8" s="273"/>
      <c r="BC8" s="275"/>
      <c r="BD8" s="173"/>
      <c r="BE8" s="173"/>
      <c r="BF8" s="273"/>
      <c r="BG8" s="275"/>
      <c r="BH8" s="173"/>
      <c r="BI8" s="173"/>
      <c r="BJ8" s="273"/>
      <c r="BK8" s="275"/>
      <c r="BL8" s="173"/>
      <c r="BM8" s="173"/>
      <c r="BN8" s="273"/>
      <c r="BO8" s="275"/>
      <c r="BP8" s="173"/>
      <c r="BQ8" s="173"/>
      <c r="BR8" s="273"/>
      <c r="BS8" s="275"/>
      <c r="BT8" s="173"/>
      <c r="BU8" s="173"/>
      <c r="BV8" s="273"/>
      <c r="BW8" s="275"/>
      <c r="BX8" s="173"/>
      <c r="BY8" s="173"/>
      <c r="BZ8" s="273"/>
      <c r="CA8" s="275"/>
      <c r="CB8" s="173"/>
      <c r="CC8" s="173"/>
      <c r="CD8" s="273"/>
      <c r="CE8" s="275"/>
      <c r="CF8" s="173"/>
      <c r="CG8" s="173"/>
      <c r="CH8" s="273"/>
      <c r="CI8" s="275"/>
      <c r="CJ8" s="173"/>
      <c r="CK8" s="173"/>
      <c r="CL8" s="273"/>
      <c r="CM8" s="275"/>
      <c r="CN8" s="173"/>
      <c r="CO8" s="173"/>
      <c r="CP8" s="273"/>
      <c r="CQ8" s="275"/>
      <c r="CR8" s="173"/>
      <c r="CS8" s="173"/>
      <c r="CT8" s="273"/>
      <c r="CU8" s="275"/>
      <c r="CV8" s="173"/>
      <c r="CW8" s="173"/>
      <c r="CX8" s="273"/>
      <c r="CY8" s="275"/>
      <c r="CZ8" s="173"/>
      <c r="DA8" s="173"/>
      <c r="DB8" s="273"/>
      <c r="DC8" s="275"/>
      <c r="DD8" s="173"/>
      <c r="DE8" s="173"/>
      <c r="DF8" s="273"/>
      <c r="DG8" s="275"/>
      <c r="DH8" s="173"/>
      <c r="DI8" s="173"/>
      <c r="DJ8" s="273"/>
      <c r="DK8" s="275"/>
      <c r="DL8" s="173"/>
      <c r="DM8" s="173"/>
      <c r="DN8" s="273"/>
      <c r="DO8" s="275"/>
      <c r="DP8" s="173"/>
      <c r="DQ8" s="173"/>
      <c r="DR8" s="273"/>
      <c r="DS8" s="275"/>
      <c r="DT8" s="173"/>
      <c r="DU8" s="173"/>
      <c r="DV8" s="273"/>
      <c r="DW8" s="275"/>
      <c r="DX8" s="173"/>
      <c r="DY8" s="173"/>
      <c r="DZ8" s="273"/>
      <c r="EA8" s="275"/>
      <c r="EB8" s="173"/>
      <c r="EC8" s="173"/>
      <c r="ED8" s="273"/>
      <c r="EE8" s="275"/>
      <c r="EF8" s="173"/>
      <c r="EG8" s="173"/>
      <c r="EH8" s="273"/>
      <c r="EI8" s="275"/>
      <c r="EJ8" s="173"/>
      <c r="EK8" s="173"/>
      <c r="EL8" s="273"/>
      <c r="EM8" s="275"/>
      <c r="EN8" s="173"/>
      <c r="EO8" s="173"/>
      <c r="EP8" s="273"/>
      <c r="EQ8" s="275"/>
      <c r="ER8" s="173"/>
      <c r="ES8" s="173"/>
      <c r="ET8" s="273"/>
      <c r="EU8" s="275"/>
      <c r="EV8" s="173"/>
      <c r="EW8" s="173"/>
      <c r="EX8" s="273"/>
      <c r="EY8" s="275"/>
      <c r="EZ8" s="173"/>
      <c r="FA8" s="173"/>
      <c r="FB8" s="273"/>
      <c r="FC8" s="275"/>
      <c r="FD8" s="173"/>
      <c r="FE8" s="173"/>
      <c r="FF8" s="273"/>
      <c r="FG8" s="275"/>
      <c r="FH8" s="173"/>
      <c r="FI8" s="173"/>
      <c r="FJ8" s="273"/>
      <c r="FK8" s="275"/>
      <c r="FL8" s="173"/>
      <c r="FM8" s="173"/>
      <c r="FN8" s="273"/>
      <c r="FO8" s="275"/>
      <c r="FP8" s="173"/>
      <c r="FQ8" s="173"/>
      <c r="FR8" s="273"/>
    </row>
    <row r="9" spans="1:174" ht="12.75">
      <c r="A9" s="182" t="s">
        <v>95</v>
      </c>
      <c r="B9" s="44"/>
      <c r="C9" s="173"/>
      <c r="D9" s="173"/>
      <c r="E9" s="173"/>
      <c r="G9" s="173"/>
      <c r="H9" s="173"/>
      <c r="I9" s="173"/>
      <c r="K9" s="173"/>
      <c r="L9" s="173"/>
      <c r="M9" s="173"/>
      <c r="O9" s="173"/>
      <c r="P9" s="173"/>
      <c r="Q9" s="173"/>
      <c r="S9" s="275"/>
      <c r="T9" s="173"/>
      <c r="U9" s="173"/>
      <c r="V9" s="273"/>
      <c r="W9" s="275"/>
      <c r="X9" s="173"/>
      <c r="Y9" s="173"/>
      <c r="Z9" s="273"/>
      <c r="AA9" s="275"/>
      <c r="AB9" s="173"/>
      <c r="AC9" s="173"/>
      <c r="AD9" s="273"/>
      <c r="AE9" s="275"/>
      <c r="AF9" s="173"/>
      <c r="AG9" s="173"/>
      <c r="AH9" s="273"/>
      <c r="AI9" s="275"/>
      <c r="AJ9" s="173"/>
      <c r="AK9" s="173"/>
      <c r="AL9" s="273"/>
      <c r="AM9" s="275"/>
      <c r="AN9" s="173"/>
      <c r="AO9" s="173"/>
      <c r="AP9" s="273"/>
      <c r="AQ9" s="275"/>
      <c r="AR9" s="173"/>
      <c r="AS9" s="173"/>
      <c r="AT9" s="273"/>
      <c r="AU9" s="275"/>
      <c r="AV9" s="173"/>
      <c r="AW9" s="173"/>
      <c r="AX9" s="273"/>
      <c r="AY9" s="275"/>
      <c r="AZ9" s="173"/>
      <c r="BA9" s="173"/>
      <c r="BB9" s="273"/>
      <c r="BC9" s="275"/>
      <c r="BD9" s="173"/>
      <c r="BE9" s="173"/>
      <c r="BF9" s="273"/>
      <c r="BG9" s="275"/>
      <c r="BH9" s="173"/>
      <c r="BI9" s="173"/>
      <c r="BJ9" s="273"/>
      <c r="BK9" s="275"/>
      <c r="BL9" s="173"/>
      <c r="BM9" s="173"/>
      <c r="BN9" s="273"/>
      <c r="BO9" s="275"/>
      <c r="BP9" s="173"/>
      <c r="BQ9" s="173"/>
      <c r="BR9" s="273"/>
      <c r="BS9" s="275"/>
      <c r="BT9" s="173"/>
      <c r="BU9" s="173"/>
      <c r="BV9" s="273"/>
      <c r="BW9" s="275"/>
      <c r="BX9" s="173"/>
      <c r="BY9" s="173"/>
      <c r="BZ9" s="273"/>
      <c r="CA9" s="275"/>
      <c r="CB9" s="173"/>
      <c r="CC9" s="173"/>
      <c r="CD9" s="273"/>
      <c r="CE9" s="275"/>
      <c r="CF9" s="173"/>
      <c r="CG9" s="173"/>
      <c r="CH9" s="273"/>
      <c r="CI9" s="275"/>
      <c r="CJ9" s="173"/>
      <c r="CK9" s="173"/>
      <c r="CL9" s="273"/>
      <c r="CM9" s="275"/>
      <c r="CN9" s="173"/>
      <c r="CO9" s="173"/>
      <c r="CP9" s="273"/>
      <c r="CQ9" s="275"/>
      <c r="CR9" s="173"/>
      <c r="CS9" s="173"/>
      <c r="CT9" s="273"/>
      <c r="CU9" s="275"/>
      <c r="CV9" s="173"/>
      <c r="CW9" s="173"/>
      <c r="CX9" s="273"/>
      <c r="CY9" s="275"/>
      <c r="CZ9" s="173"/>
      <c r="DA9" s="173"/>
      <c r="DB9" s="273"/>
      <c r="DC9" s="275"/>
      <c r="DD9" s="173"/>
      <c r="DE9" s="173"/>
      <c r="DF9" s="273"/>
      <c r="DG9" s="275"/>
      <c r="DH9" s="173"/>
      <c r="DI9" s="173"/>
      <c r="DJ9" s="273"/>
      <c r="DK9" s="275"/>
      <c r="DL9" s="173"/>
      <c r="DM9" s="173"/>
      <c r="DN9" s="273"/>
      <c r="DO9" s="275"/>
      <c r="DP9" s="173"/>
      <c r="DQ9" s="173"/>
      <c r="DR9" s="273"/>
      <c r="DS9" s="275"/>
      <c r="DT9" s="173"/>
      <c r="DU9" s="173"/>
      <c r="DV9" s="273"/>
      <c r="DW9" s="275"/>
      <c r="DX9" s="173"/>
      <c r="DY9" s="173"/>
      <c r="DZ9" s="273"/>
      <c r="EA9" s="275"/>
      <c r="EB9" s="173"/>
      <c r="EC9" s="173"/>
      <c r="ED9" s="273"/>
      <c r="EE9" s="275"/>
      <c r="EF9" s="173"/>
      <c r="EG9" s="173"/>
      <c r="EH9" s="273"/>
      <c r="EI9" s="275"/>
      <c r="EJ9" s="173"/>
      <c r="EK9" s="173"/>
      <c r="EL9" s="273"/>
      <c r="EM9" s="275"/>
      <c r="EN9" s="173"/>
      <c r="EO9" s="173"/>
      <c r="EP9" s="273"/>
      <c r="EQ9" s="275"/>
      <c r="ER9" s="173"/>
      <c r="ES9" s="173"/>
      <c r="ET9" s="273"/>
      <c r="EU9" s="275"/>
      <c r="EV9" s="173"/>
      <c r="EW9" s="173"/>
      <c r="EX9" s="273"/>
      <c r="EY9" s="275"/>
      <c r="EZ9" s="173"/>
      <c r="FA9" s="173"/>
      <c r="FB9" s="273"/>
      <c r="FC9" s="275"/>
      <c r="FD9" s="173"/>
      <c r="FE9" s="173"/>
      <c r="FF9" s="273"/>
      <c r="FG9" s="275"/>
      <c r="FH9" s="173"/>
      <c r="FI9" s="173"/>
      <c r="FJ9" s="273"/>
      <c r="FK9" s="275"/>
      <c r="FL9" s="173"/>
      <c r="FM9" s="173"/>
      <c r="FN9" s="273"/>
      <c r="FO9" s="275"/>
      <c r="FP9" s="173"/>
      <c r="FQ9" s="173"/>
      <c r="FR9" s="273"/>
    </row>
    <row r="10" spans="1:174" ht="12.75">
      <c r="A10" s="182"/>
      <c r="B10" s="44"/>
      <c r="C10" s="173"/>
      <c r="D10" s="173"/>
      <c r="E10" s="173"/>
      <c r="G10" s="173"/>
      <c r="H10" s="173"/>
      <c r="I10" s="173"/>
      <c r="K10" s="173"/>
      <c r="L10" s="173"/>
      <c r="M10" s="173"/>
      <c r="O10" s="173"/>
      <c r="P10" s="173"/>
      <c r="Q10" s="173"/>
      <c r="S10" s="275"/>
      <c r="T10" s="173"/>
      <c r="U10" s="173"/>
      <c r="V10" s="273"/>
      <c r="W10" s="275"/>
      <c r="X10" s="173"/>
      <c r="Y10" s="173"/>
      <c r="Z10" s="273"/>
      <c r="AA10" s="275"/>
      <c r="AB10" s="173"/>
      <c r="AC10" s="173"/>
      <c r="AD10" s="273"/>
      <c r="AE10" s="275"/>
      <c r="AF10" s="173"/>
      <c r="AG10" s="173"/>
      <c r="AH10" s="273"/>
      <c r="AI10" s="275"/>
      <c r="AJ10" s="173"/>
      <c r="AK10" s="173"/>
      <c r="AL10" s="273"/>
      <c r="AM10" s="275"/>
      <c r="AN10" s="173"/>
      <c r="AO10" s="173"/>
      <c r="AP10" s="273"/>
      <c r="AQ10" s="275"/>
      <c r="AR10" s="173"/>
      <c r="AS10" s="173"/>
      <c r="AT10" s="273"/>
      <c r="AU10" s="275"/>
      <c r="AV10" s="173"/>
      <c r="AW10" s="173"/>
      <c r="AX10" s="273"/>
      <c r="AY10" s="275"/>
      <c r="AZ10" s="173"/>
      <c r="BA10" s="173"/>
      <c r="BB10" s="273"/>
      <c r="BC10" s="275"/>
      <c r="BD10" s="173"/>
      <c r="BE10" s="173"/>
      <c r="BF10" s="273"/>
      <c r="BG10" s="275"/>
      <c r="BH10" s="173"/>
      <c r="BI10" s="173"/>
      <c r="BJ10" s="273"/>
      <c r="BK10" s="275"/>
      <c r="BL10" s="173"/>
      <c r="BM10" s="173"/>
      <c r="BN10" s="273"/>
      <c r="BO10" s="275"/>
      <c r="BP10" s="173"/>
      <c r="BQ10" s="173"/>
      <c r="BR10" s="273"/>
      <c r="BS10" s="275"/>
      <c r="BT10" s="173"/>
      <c r="BU10" s="173"/>
      <c r="BV10" s="273"/>
      <c r="BW10" s="275"/>
      <c r="BX10" s="173"/>
      <c r="BY10" s="173"/>
      <c r="BZ10" s="273"/>
      <c r="CA10" s="275"/>
      <c r="CB10" s="173"/>
      <c r="CC10" s="173"/>
      <c r="CD10" s="273"/>
      <c r="CE10" s="275"/>
      <c r="CF10" s="173"/>
      <c r="CG10" s="173"/>
      <c r="CH10" s="273"/>
      <c r="CI10" s="275"/>
      <c r="CJ10" s="173"/>
      <c r="CK10" s="173"/>
      <c r="CL10" s="273"/>
      <c r="CM10" s="275"/>
      <c r="CN10" s="173"/>
      <c r="CO10" s="173"/>
      <c r="CP10" s="273"/>
      <c r="CQ10" s="275"/>
      <c r="CR10" s="173"/>
      <c r="CS10" s="173"/>
      <c r="CT10" s="273"/>
      <c r="CU10" s="275"/>
      <c r="CV10" s="173"/>
      <c r="CW10" s="173"/>
      <c r="CX10" s="273"/>
      <c r="CY10" s="275"/>
      <c r="CZ10" s="173"/>
      <c r="DA10" s="173"/>
      <c r="DB10" s="273"/>
      <c r="DC10" s="275"/>
      <c r="DD10" s="173"/>
      <c r="DE10" s="173"/>
      <c r="DF10" s="273"/>
      <c r="DG10" s="275"/>
      <c r="DH10" s="173"/>
      <c r="DI10" s="173"/>
      <c r="DJ10" s="273"/>
      <c r="DK10" s="275"/>
      <c r="DL10" s="173"/>
      <c r="DM10" s="173"/>
      <c r="DN10" s="273"/>
      <c r="DO10" s="275"/>
      <c r="DP10" s="173"/>
      <c r="DQ10" s="173"/>
      <c r="DR10" s="273"/>
      <c r="DS10" s="275"/>
      <c r="DT10" s="173"/>
      <c r="DU10" s="173"/>
      <c r="DV10" s="273"/>
      <c r="DW10" s="275"/>
      <c r="DX10" s="173"/>
      <c r="DY10" s="173"/>
      <c r="DZ10" s="273"/>
      <c r="EA10" s="275"/>
      <c r="EB10" s="173"/>
      <c r="EC10" s="173"/>
      <c r="ED10" s="273"/>
      <c r="EE10" s="275"/>
      <c r="EF10" s="173"/>
      <c r="EG10" s="173"/>
      <c r="EH10" s="273"/>
      <c r="EI10" s="275"/>
      <c r="EJ10" s="173"/>
      <c r="EK10" s="173"/>
      <c r="EL10" s="273"/>
      <c r="EM10" s="275"/>
      <c r="EN10" s="173"/>
      <c r="EO10" s="173"/>
      <c r="EP10" s="273"/>
      <c r="EQ10" s="275"/>
      <c r="ER10" s="173"/>
      <c r="ES10" s="173"/>
      <c r="ET10" s="273"/>
      <c r="EU10" s="275"/>
      <c r="EV10" s="173"/>
      <c r="EW10" s="173"/>
      <c r="EX10" s="273"/>
      <c r="EY10" s="275"/>
      <c r="EZ10" s="173"/>
      <c r="FA10" s="173"/>
      <c r="FB10" s="273"/>
      <c r="FC10" s="275"/>
      <c r="FD10" s="173"/>
      <c r="FE10" s="173"/>
      <c r="FF10" s="273"/>
      <c r="FG10" s="275"/>
      <c r="FH10" s="173"/>
      <c r="FI10" s="173"/>
      <c r="FJ10" s="273"/>
      <c r="FK10" s="275"/>
      <c r="FL10" s="173"/>
      <c r="FM10" s="173"/>
      <c r="FN10" s="273"/>
      <c r="FO10" s="275"/>
      <c r="FP10" s="173"/>
      <c r="FQ10" s="173"/>
      <c r="FR10" s="273"/>
    </row>
    <row r="11" spans="1:174" ht="12.75">
      <c r="A11" s="182" t="s">
        <v>96</v>
      </c>
      <c r="B11" s="44"/>
      <c r="C11" s="173"/>
      <c r="D11" s="173"/>
      <c r="E11" s="173"/>
      <c r="G11" s="173"/>
      <c r="H11" s="173"/>
      <c r="I11" s="173"/>
      <c r="K11" s="173"/>
      <c r="L11" s="173"/>
      <c r="M11" s="173"/>
      <c r="O11" s="173"/>
      <c r="P11" s="173"/>
      <c r="Q11" s="173"/>
      <c r="S11" s="275"/>
      <c r="T11" s="173"/>
      <c r="U11" s="173"/>
      <c r="V11" s="273"/>
      <c r="W11" s="275"/>
      <c r="X11" s="173"/>
      <c r="Y11" s="173"/>
      <c r="Z11" s="273"/>
      <c r="AA11" s="275"/>
      <c r="AB11" s="173"/>
      <c r="AC11" s="173"/>
      <c r="AD11" s="273"/>
      <c r="AE11" s="275"/>
      <c r="AF11" s="173"/>
      <c r="AG11" s="173"/>
      <c r="AH11" s="273"/>
      <c r="AI11" s="275"/>
      <c r="AJ11" s="173"/>
      <c r="AK11" s="173"/>
      <c r="AL11" s="273"/>
      <c r="AM11" s="275"/>
      <c r="AN11" s="173"/>
      <c r="AO11" s="173"/>
      <c r="AP11" s="273"/>
      <c r="AQ11" s="275"/>
      <c r="AR11" s="173"/>
      <c r="AS11" s="173"/>
      <c r="AT11" s="273"/>
      <c r="AU11" s="275"/>
      <c r="AV11" s="173"/>
      <c r="AW11" s="173"/>
      <c r="AX11" s="273"/>
      <c r="AY11" s="275"/>
      <c r="AZ11" s="173"/>
      <c r="BA11" s="173"/>
      <c r="BB11" s="273"/>
      <c r="BC11" s="275"/>
      <c r="BD11" s="173"/>
      <c r="BE11" s="173"/>
      <c r="BF11" s="273"/>
      <c r="BG11" s="275"/>
      <c r="BH11" s="173"/>
      <c r="BI11" s="173"/>
      <c r="BJ11" s="273"/>
      <c r="BK11" s="275"/>
      <c r="BL11" s="173"/>
      <c r="BM11" s="173"/>
      <c r="BN11" s="273"/>
      <c r="BO11" s="275"/>
      <c r="BP11" s="173"/>
      <c r="BQ11" s="173"/>
      <c r="BR11" s="273"/>
      <c r="BS11" s="275"/>
      <c r="BT11" s="173"/>
      <c r="BU11" s="173"/>
      <c r="BV11" s="273"/>
      <c r="BW11" s="275"/>
      <c r="BX11" s="173"/>
      <c r="BY11" s="173"/>
      <c r="BZ11" s="273"/>
      <c r="CA11" s="275"/>
      <c r="CB11" s="173"/>
      <c r="CC11" s="173"/>
      <c r="CD11" s="273"/>
      <c r="CE11" s="275"/>
      <c r="CF11" s="173"/>
      <c r="CG11" s="173"/>
      <c r="CH11" s="273"/>
      <c r="CI11" s="275"/>
      <c r="CJ11" s="173"/>
      <c r="CK11" s="173"/>
      <c r="CL11" s="273"/>
      <c r="CM11" s="275"/>
      <c r="CN11" s="173"/>
      <c r="CO11" s="173"/>
      <c r="CP11" s="273"/>
      <c r="CQ11" s="275"/>
      <c r="CR11" s="173"/>
      <c r="CS11" s="173"/>
      <c r="CT11" s="273"/>
      <c r="CU11" s="275"/>
      <c r="CV11" s="173"/>
      <c r="CW11" s="173"/>
      <c r="CX11" s="273"/>
      <c r="CY11" s="275"/>
      <c r="CZ11" s="173"/>
      <c r="DA11" s="173"/>
      <c r="DB11" s="273"/>
      <c r="DC11" s="275"/>
      <c r="DD11" s="173"/>
      <c r="DE11" s="173"/>
      <c r="DF11" s="273"/>
      <c r="DG11" s="275"/>
      <c r="DH11" s="173"/>
      <c r="DI11" s="173"/>
      <c r="DJ11" s="273"/>
      <c r="DK11" s="275"/>
      <c r="DL11" s="173"/>
      <c r="DM11" s="173"/>
      <c r="DN11" s="273"/>
      <c r="DO11" s="275"/>
      <c r="DP11" s="173"/>
      <c r="DQ11" s="173"/>
      <c r="DR11" s="273"/>
      <c r="DS11" s="275"/>
      <c r="DT11" s="173"/>
      <c r="DU11" s="173"/>
      <c r="DV11" s="273"/>
      <c r="DW11" s="275"/>
      <c r="DX11" s="173"/>
      <c r="DY11" s="173"/>
      <c r="DZ11" s="273"/>
      <c r="EA11" s="275"/>
      <c r="EB11" s="173"/>
      <c r="EC11" s="173"/>
      <c r="ED11" s="273"/>
      <c r="EE11" s="275"/>
      <c r="EF11" s="173"/>
      <c r="EG11" s="173"/>
      <c r="EH11" s="273"/>
      <c r="EI11" s="275"/>
      <c r="EJ11" s="173"/>
      <c r="EK11" s="173"/>
      <c r="EL11" s="273"/>
      <c r="EM11" s="275"/>
      <c r="EN11" s="173"/>
      <c r="EO11" s="173"/>
      <c r="EP11" s="273"/>
      <c r="EQ11" s="275"/>
      <c r="ER11" s="173"/>
      <c r="ES11" s="173"/>
      <c r="ET11" s="273"/>
      <c r="EU11" s="275"/>
      <c r="EV11" s="173"/>
      <c r="EW11" s="173"/>
      <c r="EX11" s="273"/>
      <c r="EY11" s="275"/>
      <c r="EZ11" s="173"/>
      <c r="FA11" s="173"/>
      <c r="FB11" s="273"/>
      <c r="FC11" s="275"/>
      <c r="FD11" s="173"/>
      <c r="FE11" s="173"/>
      <c r="FF11" s="273"/>
      <c r="FG11" s="275"/>
      <c r="FH11" s="173"/>
      <c r="FI11" s="173"/>
      <c r="FJ11" s="273"/>
      <c r="FK11" s="275"/>
      <c r="FL11" s="173"/>
      <c r="FM11" s="173"/>
      <c r="FN11" s="273"/>
      <c r="FO11" s="275"/>
      <c r="FP11" s="173"/>
      <c r="FQ11" s="173"/>
      <c r="FR11" s="273"/>
    </row>
    <row r="12" spans="1:174" ht="13.5" thickBot="1">
      <c r="A12" s="182" t="s">
        <v>97</v>
      </c>
      <c r="C12" s="178">
        <f>C6</f>
        <v>15762.5</v>
      </c>
      <c r="D12" s="178">
        <f>D6</f>
        <v>0</v>
      </c>
      <c r="E12" s="179">
        <f>E6</f>
        <v>0</v>
      </c>
      <c r="G12" s="178">
        <f>C12+G6</f>
        <v>31525</v>
      </c>
      <c r="H12" s="178">
        <f>H6</f>
        <v>0</v>
      </c>
      <c r="I12" s="179">
        <f>E12+I6</f>
        <v>0</v>
      </c>
      <c r="K12" s="178">
        <f>G12+K6</f>
        <v>47287.5</v>
      </c>
      <c r="L12" s="178">
        <f>L6</f>
        <v>0</v>
      </c>
      <c r="M12" s="179">
        <f>I12+M6</f>
        <v>-1736.84</v>
      </c>
      <c r="O12" s="178">
        <f>K12+O6</f>
        <v>63050</v>
      </c>
      <c r="P12" s="178">
        <f>P6</f>
        <v>0</v>
      </c>
      <c r="Q12" s="179">
        <f>M12+Q6</f>
        <v>-17116.84</v>
      </c>
      <c r="S12" s="280">
        <f>O12+S6</f>
        <v>78812.5</v>
      </c>
      <c r="T12" s="178">
        <f>T6</f>
        <v>0</v>
      </c>
      <c r="U12" s="281">
        <f>Q12+U6</f>
        <v>-122773.92</v>
      </c>
      <c r="V12" s="273"/>
      <c r="W12" s="280">
        <f>S12+W6</f>
        <v>94575</v>
      </c>
      <c r="X12" s="178">
        <f>X6</f>
        <v>0</v>
      </c>
      <c r="Y12" s="281">
        <f>U12+Y6</f>
        <v>-122773.92</v>
      </c>
      <c r="Z12" s="273"/>
      <c r="AA12" s="280">
        <f>W12+AA6</f>
        <v>110337.5</v>
      </c>
      <c r="AB12" s="178">
        <f>AB6</f>
        <v>0</v>
      </c>
      <c r="AC12" s="281">
        <f>Y12+AC6</f>
        <v>-122773.92</v>
      </c>
      <c r="AD12" s="273"/>
      <c r="AE12" s="280">
        <f>AA12+AE6</f>
        <v>126100</v>
      </c>
      <c r="AF12" s="178">
        <f>AF6</f>
        <v>0</v>
      </c>
      <c r="AG12" s="281">
        <f>AC12+AG6</f>
        <v>-173073.61</v>
      </c>
      <c r="AH12" s="273"/>
      <c r="AI12" s="280">
        <f>AE12+AI6</f>
        <v>141862.5</v>
      </c>
      <c r="AJ12" s="178">
        <f>AJ6</f>
        <v>0</v>
      </c>
      <c r="AK12" s="281">
        <f>AG12+AK6</f>
        <v>-130130.16999999998</v>
      </c>
      <c r="AL12" s="273"/>
      <c r="AM12" s="280">
        <f>AI12+AM6</f>
        <v>157625</v>
      </c>
      <c r="AN12" s="178">
        <f>AN6</f>
        <v>0</v>
      </c>
      <c r="AO12" s="281">
        <f>AK12+AO6</f>
        <v>-130130.16999999998</v>
      </c>
      <c r="AP12" s="273"/>
      <c r="AQ12" s="280">
        <f>AM12+AQ6</f>
        <v>173387.5</v>
      </c>
      <c r="AR12" s="178">
        <f>AR6</f>
        <v>0</v>
      </c>
      <c r="AS12" s="281">
        <f>AO12+AS6</f>
        <v>-130130.16999999998</v>
      </c>
      <c r="AT12" s="273"/>
      <c r="AU12" s="280">
        <f>AQ12+AU6</f>
        <v>189150</v>
      </c>
      <c r="AV12" s="178">
        <f>AV6</f>
        <v>0</v>
      </c>
      <c r="AW12" s="281">
        <f>AS12+AW6</f>
        <v>-390291.68</v>
      </c>
      <c r="AX12" s="273"/>
      <c r="AY12" s="280">
        <f>AY6</f>
        <v>15762.5</v>
      </c>
      <c r="AZ12" s="178">
        <f>AZ6</f>
        <v>0</v>
      </c>
      <c r="BA12" s="281">
        <v>0</v>
      </c>
      <c r="BB12" s="273"/>
      <c r="BC12" s="280">
        <f>AY12+BC6</f>
        <v>31525</v>
      </c>
      <c r="BD12" s="178">
        <f>BD6</f>
        <v>0</v>
      </c>
      <c r="BE12" s="281">
        <v>0</v>
      </c>
      <c r="BF12" s="273"/>
      <c r="BG12" s="280">
        <f>BC12+BG6</f>
        <v>47287.5</v>
      </c>
      <c r="BH12" s="178">
        <f>BH6</f>
        <v>0</v>
      </c>
      <c r="BI12" s="281">
        <v>0</v>
      </c>
      <c r="BJ12" s="273"/>
      <c r="BK12" s="280">
        <f>BG12+BK6</f>
        <v>63050</v>
      </c>
      <c r="BL12" s="178">
        <f>BL6</f>
        <v>0</v>
      </c>
      <c r="BM12" s="281">
        <v>0</v>
      </c>
      <c r="BN12" s="273"/>
      <c r="BO12" s="280">
        <f>BK12+BO6</f>
        <v>78812.5</v>
      </c>
      <c r="BP12" s="178">
        <f>BP6</f>
        <v>0</v>
      </c>
      <c r="BQ12" s="281">
        <v>0</v>
      </c>
      <c r="BR12" s="273"/>
      <c r="BS12" s="280">
        <f>BO12+BS6</f>
        <v>94575</v>
      </c>
      <c r="BT12" s="178">
        <f>BT6</f>
        <v>0</v>
      </c>
      <c r="BU12" s="281">
        <v>0</v>
      </c>
      <c r="BV12" s="273"/>
      <c r="BW12" s="280">
        <f>BS12+BW6</f>
        <v>110337.5</v>
      </c>
      <c r="BX12" s="178">
        <f>BX6</f>
        <v>0</v>
      </c>
      <c r="BY12" s="281">
        <v>0</v>
      </c>
      <c r="BZ12" s="273"/>
      <c r="CA12" s="280">
        <f>BW12+CA6</f>
        <v>126100</v>
      </c>
      <c r="CB12" s="178">
        <f>CB6</f>
        <v>0</v>
      </c>
      <c r="CC12" s="281">
        <v>0</v>
      </c>
      <c r="CD12" s="273"/>
      <c r="CE12" s="280">
        <f>CA12+CE6</f>
        <v>141862.5</v>
      </c>
      <c r="CF12" s="178">
        <f>CF6</f>
        <v>0</v>
      </c>
      <c r="CG12" s="281">
        <v>0</v>
      </c>
      <c r="CH12" s="273"/>
      <c r="CI12" s="280">
        <f>CE12+CI6</f>
        <v>157625</v>
      </c>
      <c r="CJ12" s="178">
        <f>CJ6</f>
        <v>0</v>
      </c>
      <c r="CK12" s="281">
        <v>0</v>
      </c>
      <c r="CL12" s="273"/>
      <c r="CM12" s="280">
        <f>CI12+CM6</f>
        <v>173387.5</v>
      </c>
      <c r="CN12" s="178">
        <f>CN6</f>
        <v>0</v>
      </c>
      <c r="CO12" s="281">
        <v>0</v>
      </c>
      <c r="CP12" s="273"/>
      <c r="CQ12" s="280">
        <f>CM12+CQ6</f>
        <v>1155991.8399999999</v>
      </c>
      <c r="CR12" s="178">
        <f>CR6</f>
        <v>0</v>
      </c>
      <c r="CS12" s="281">
        <v>0</v>
      </c>
      <c r="CT12" s="273"/>
      <c r="CU12" s="280">
        <f>CQ12+CU6</f>
        <v>1222991.8399999999</v>
      </c>
      <c r="CV12" s="178">
        <f>CV6</f>
        <v>0</v>
      </c>
      <c r="CW12" s="281">
        <v>0</v>
      </c>
      <c r="CX12" s="273"/>
      <c r="CY12" s="280">
        <f>CU12+CY6</f>
        <v>1289991.8399999999</v>
      </c>
      <c r="CZ12" s="178">
        <f>CZ6</f>
        <v>0</v>
      </c>
      <c r="DA12" s="281">
        <v>0</v>
      </c>
      <c r="DB12" s="273"/>
      <c r="DC12" s="280">
        <f>CY12+DC6</f>
        <v>1356991.8399999999</v>
      </c>
      <c r="DD12" s="178">
        <f>DD6</f>
        <v>0</v>
      </c>
      <c r="DE12" s="281">
        <v>0</v>
      </c>
      <c r="DF12" s="273"/>
      <c r="DG12" s="280">
        <f>DC12+DG6</f>
        <v>1423991.8399999999</v>
      </c>
      <c r="DH12" s="178">
        <f>DH6</f>
        <v>0</v>
      </c>
      <c r="DI12" s="281">
        <v>0</v>
      </c>
      <c r="DJ12" s="273"/>
      <c r="DK12" s="280">
        <f>DG12+DK6</f>
        <v>1490991.8399999999</v>
      </c>
      <c r="DL12" s="178">
        <f>DL6</f>
        <v>0</v>
      </c>
      <c r="DM12" s="281">
        <v>0</v>
      </c>
      <c r="DN12" s="273"/>
      <c r="DO12" s="280">
        <f>DK12+DO6</f>
        <v>1557991.8399999999</v>
      </c>
      <c r="DP12" s="178">
        <f>DP6</f>
        <v>0</v>
      </c>
      <c r="DQ12" s="281">
        <v>0</v>
      </c>
      <c r="DR12" s="273"/>
      <c r="DS12" s="280">
        <f>DO12+DS6</f>
        <v>1624991.8399999999</v>
      </c>
      <c r="DT12" s="178">
        <f>DT6</f>
        <v>0</v>
      </c>
      <c r="DU12" s="281">
        <v>0</v>
      </c>
      <c r="DV12" s="273"/>
      <c r="DW12" s="280">
        <f>DS12+DW6</f>
        <v>1691991.8399999999</v>
      </c>
      <c r="DX12" s="178">
        <f>DX6</f>
        <v>0</v>
      </c>
      <c r="DY12" s="281">
        <v>0</v>
      </c>
      <c r="DZ12" s="273"/>
      <c r="EA12" s="280">
        <f>DW12+EA6</f>
        <v>1758991.8399999999</v>
      </c>
      <c r="EB12" s="178">
        <f>EB6</f>
        <v>0</v>
      </c>
      <c r="EC12" s="281">
        <v>0</v>
      </c>
      <c r="ED12" s="273"/>
      <c r="EE12" s="280">
        <f>EA12+EE6</f>
        <v>1825991.8399999999</v>
      </c>
      <c r="EF12" s="178">
        <f>EF6</f>
        <v>0</v>
      </c>
      <c r="EG12" s="281">
        <v>0</v>
      </c>
      <c r="EH12" s="273"/>
      <c r="EI12" s="280">
        <f>EE12+EI6</f>
        <v>1892991.8399999999</v>
      </c>
      <c r="EJ12" s="178">
        <f>EJ6</f>
        <v>0</v>
      </c>
      <c r="EK12" s="281">
        <v>0</v>
      </c>
      <c r="EL12" s="273"/>
      <c r="EM12" s="280">
        <f>EI12+EM6</f>
        <v>1959991.8399999999</v>
      </c>
      <c r="EN12" s="178">
        <f>EN6</f>
        <v>0</v>
      </c>
      <c r="EO12" s="281">
        <v>0</v>
      </c>
      <c r="EP12" s="273"/>
      <c r="EQ12" s="280">
        <f>EM12+EQ6</f>
        <v>2026991.8399999999</v>
      </c>
      <c r="ER12" s="178">
        <f>ER6</f>
        <v>0</v>
      </c>
      <c r="ES12" s="281">
        <v>0</v>
      </c>
      <c r="ET12" s="273"/>
      <c r="EU12" s="280">
        <f>EQ12+EU6</f>
        <v>2093991.8399999999</v>
      </c>
      <c r="EV12" s="178">
        <f>EV6</f>
        <v>0</v>
      </c>
      <c r="EW12" s="281">
        <v>0</v>
      </c>
      <c r="EX12" s="273"/>
      <c r="EY12" s="280">
        <f>EU12+EY6</f>
        <v>2160991.84</v>
      </c>
      <c r="EZ12" s="178">
        <f>EZ6</f>
        <v>0</v>
      </c>
      <c r="FA12" s="281">
        <v>0</v>
      </c>
      <c r="FB12" s="273"/>
      <c r="FC12" s="280">
        <f>EY12+FC6</f>
        <v>2227991.84</v>
      </c>
      <c r="FD12" s="178">
        <f>FD6</f>
        <v>0</v>
      </c>
      <c r="FE12" s="281">
        <v>0</v>
      </c>
      <c r="FF12" s="273"/>
      <c r="FG12" s="280">
        <f>FC12+FG6</f>
        <v>2294991.84</v>
      </c>
      <c r="FH12" s="178">
        <f>FH6</f>
        <v>0</v>
      </c>
      <c r="FI12" s="281">
        <v>0</v>
      </c>
      <c r="FJ12" s="273"/>
      <c r="FK12" s="280">
        <f>FG12+FK6</f>
        <v>2361991.84</v>
      </c>
      <c r="FL12" s="178">
        <f>FL6</f>
        <v>0</v>
      </c>
      <c r="FM12" s="281">
        <v>0</v>
      </c>
      <c r="FN12" s="273"/>
      <c r="FO12" s="280">
        <f>FK12+FO6</f>
        <v>2428991.84</v>
      </c>
      <c r="FP12" s="178">
        <f>FP6</f>
        <v>0</v>
      </c>
      <c r="FQ12" s="281">
        <v>0</v>
      </c>
      <c r="FR12" s="273"/>
    </row>
    <row r="13" spans="1:174" ht="13.5" thickTop="1">
      <c r="A13" s="182" t="s">
        <v>98</v>
      </c>
      <c r="C13" s="173"/>
      <c r="D13" s="173" t="s">
        <v>354</v>
      </c>
      <c r="E13" s="173">
        <v>0</v>
      </c>
      <c r="G13" s="173"/>
      <c r="H13" s="173" t="s">
        <v>354</v>
      </c>
      <c r="I13" s="173">
        <v>0</v>
      </c>
      <c r="K13" s="173"/>
      <c r="L13" s="173" t="s">
        <v>354</v>
      </c>
      <c r="M13" s="173">
        <v>0</v>
      </c>
      <c r="O13" s="173"/>
      <c r="P13" s="173" t="s">
        <v>354</v>
      </c>
      <c r="Q13" s="173">
        <v>0</v>
      </c>
      <c r="S13" s="275"/>
      <c r="T13" s="173" t="s">
        <v>354</v>
      </c>
      <c r="U13" s="173">
        <v>0</v>
      </c>
      <c r="V13" s="273"/>
      <c r="W13" s="275"/>
      <c r="X13" s="173" t="s">
        <v>354</v>
      </c>
      <c r="Y13" s="173">
        <v>0</v>
      </c>
      <c r="Z13" s="273"/>
      <c r="AA13" s="275"/>
      <c r="AB13" s="173" t="s">
        <v>354</v>
      </c>
      <c r="AC13" s="173">
        <v>0</v>
      </c>
      <c r="AD13" s="273"/>
      <c r="AE13" s="275"/>
      <c r="AF13" s="173" t="s">
        <v>354</v>
      </c>
      <c r="AG13" s="173">
        <v>0</v>
      </c>
      <c r="AH13" s="273"/>
      <c r="AI13" s="275"/>
      <c r="AJ13" s="173" t="s">
        <v>354</v>
      </c>
      <c r="AK13" s="173">
        <v>0</v>
      </c>
      <c r="AL13" s="273"/>
      <c r="AM13" s="275"/>
      <c r="AN13" s="173" t="s">
        <v>354</v>
      </c>
      <c r="AO13" s="173">
        <v>0</v>
      </c>
      <c r="AP13" s="273"/>
      <c r="AQ13" s="275"/>
      <c r="AR13" s="173" t="s">
        <v>354</v>
      </c>
      <c r="AS13" s="173">
        <v>88549.78</v>
      </c>
      <c r="AT13" s="273"/>
      <c r="AU13" s="275"/>
      <c r="AV13" s="173" t="s">
        <v>354</v>
      </c>
      <c r="AW13" s="173">
        <v>88549.78</v>
      </c>
      <c r="AX13" s="273"/>
      <c r="AY13" s="275"/>
      <c r="AZ13" s="173" t="s">
        <v>354</v>
      </c>
      <c r="BA13" s="173">
        <v>88549.78</v>
      </c>
      <c r="BB13" s="273"/>
      <c r="BC13" s="275"/>
      <c r="BD13" s="173" t="s">
        <v>354</v>
      </c>
      <c r="BE13" s="173">
        <v>88549.78</v>
      </c>
      <c r="BF13" s="273"/>
      <c r="BG13" s="275"/>
      <c r="BH13" s="173" t="s">
        <v>354</v>
      </c>
      <c r="BI13" s="173">
        <v>88549.78</v>
      </c>
      <c r="BJ13" s="273"/>
      <c r="BK13" s="275"/>
      <c r="BL13" s="173" t="s">
        <v>354</v>
      </c>
      <c r="BM13" s="173">
        <v>88549.78</v>
      </c>
      <c r="BN13" s="273"/>
      <c r="BO13" s="275"/>
      <c r="BP13" s="173" t="s">
        <v>354</v>
      </c>
      <c r="BQ13" s="173">
        <v>88549.78</v>
      </c>
      <c r="BR13" s="273"/>
      <c r="BS13" s="275"/>
      <c r="BT13" s="173" t="s">
        <v>354</v>
      </c>
      <c r="BU13" s="173">
        <v>88549.78</v>
      </c>
      <c r="BV13" s="273"/>
      <c r="BW13" s="275"/>
      <c r="BX13" s="173" t="s">
        <v>354</v>
      </c>
      <c r="BY13" s="173">
        <v>88549.78</v>
      </c>
      <c r="BZ13" s="273"/>
      <c r="CA13" s="275"/>
      <c r="CB13" s="173" t="s">
        <v>354</v>
      </c>
      <c r="CC13" s="173">
        <v>88549.78</v>
      </c>
      <c r="CD13" s="273"/>
      <c r="CE13" s="275"/>
      <c r="CF13" s="173" t="s">
        <v>354</v>
      </c>
      <c r="CG13" s="173">
        <v>88549.78</v>
      </c>
      <c r="CH13" s="273"/>
      <c r="CI13" s="275"/>
      <c r="CJ13" s="173" t="s">
        <v>354</v>
      </c>
      <c r="CK13" s="173">
        <v>88549.78</v>
      </c>
      <c r="CL13" s="273"/>
      <c r="CM13" s="275"/>
      <c r="CN13" s="173" t="s">
        <v>354</v>
      </c>
      <c r="CO13" s="173">
        <v>88549.78</v>
      </c>
      <c r="CP13" s="273"/>
      <c r="CQ13" s="275"/>
      <c r="CR13" s="173" t="s">
        <v>354</v>
      </c>
      <c r="CS13" s="173">
        <v>88549.78</v>
      </c>
      <c r="CT13" s="273"/>
      <c r="CU13" s="275"/>
      <c r="CV13" s="173" t="s">
        <v>354</v>
      </c>
      <c r="CW13" s="173">
        <v>88549.78</v>
      </c>
      <c r="CX13" s="273"/>
      <c r="CY13" s="275"/>
      <c r="CZ13" s="173" t="s">
        <v>354</v>
      </c>
      <c r="DA13" s="173">
        <v>88549.78</v>
      </c>
      <c r="DB13" s="273"/>
      <c r="DC13" s="275"/>
      <c r="DD13" s="173" t="s">
        <v>354</v>
      </c>
      <c r="DE13" s="173">
        <v>88549.78</v>
      </c>
      <c r="DF13" s="273"/>
      <c r="DG13" s="275"/>
      <c r="DH13" s="173" t="s">
        <v>354</v>
      </c>
      <c r="DI13" s="173">
        <v>88549.78</v>
      </c>
      <c r="DJ13" s="273"/>
      <c r="DK13" s="275"/>
      <c r="DL13" s="173" t="s">
        <v>354</v>
      </c>
      <c r="DM13" s="173">
        <v>88549.78</v>
      </c>
      <c r="DN13" s="273"/>
      <c r="DO13" s="275"/>
      <c r="DP13" s="173" t="s">
        <v>354</v>
      </c>
      <c r="DQ13" s="173">
        <v>88549.78</v>
      </c>
      <c r="DR13" s="273"/>
      <c r="DS13" s="275"/>
      <c r="DT13" s="173" t="s">
        <v>354</v>
      </c>
      <c r="DU13" s="173">
        <v>88549.78</v>
      </c>
      <c r="DV13" s="273"/>
      <c r="DW13" s="275"/>
      <c r="DX13" s="173" t="s">
        <v>354</v>
      </c>
      <c r="DY13" s="173">
        <v>88549.78</v>
      </c>
      <c r="DZ13" s="273"/>
      <c r="EA13" s="275"/>
      <c r="EB13" s="173" t="s">
        <v>354</v>
      </c>
      <c r="EC13" s="173">
        <v>88549.78</v>
      </c>
      <c r="ED13" s="273"/>
      <c r="EE13" s="275"/>
      <c r="EF13" s="173" t="s">
        <v>354</v>
      </c>
      <c r="EG13" s="173">
        <v>88549.78</v>
      </c>
      <c r="EH13" s="273"/>
      <c r="EI13" s="275"/>
      <c r="EJ13" s="173" t="s">
        <v>354</v>
      </c>
      <c r="EK13" s="173">
        <v>88549.78</v>
      </c>
      <c r="EL13" s="273"/>
      <c r="EM13" s="275"/>
      <c r="EN13" s="173" t="s">
        <v>354</v>
      </c>
      <c r="EO13" s="173">
        <v>88549.78</v>
      </c>
      <c r="EP13" s="273"/>
      <c r="EQ13" s="275"/>
      <c r="ER13" s="173" t="s">
        <v>354</v>
      </c>
      <c r="ES13" s="173">
        <v>88549.78</v>
      </c>
      <c r="ET13" s="273"/>
      <c r="EU13" s="275"/>
      <c r="EV13" s="173" t="s">
        <v>354</v>
      </c>
      <c r="EW13" s="173">
        <v>0</v>
      </c>
      <c r="EX13" s="273"/>
      <c r="EY13" s="275"/>
      <c r="EZ13" s="173" t="s">
        <v>354</v>
      </c>
      <c r="FA13" s="173">
        <v>0</v>
      </c>
      <c r="FB13" s="273"/>
      <c r="FC13" s="275"/>
      <c r="FD13" s="173" t="s">
        <v>354</v>
      </c>
      <c r="FE13" s="173">
        <v>0</v>
      </c>
      <c r="FF13" s="273"/>
      <c r="FG13" s="275"/>
      <c r="FH13" s="173" t="s">
        <v>354</v>
      </c>
      <c r="FI13" s="173">
        <v>0</v>
      </c>
      <c r="FJ13" s="273"/>
      <c r="FK13" s="275"/>
      <c r="FL13" s="173" t="s">
        <v>354</v>
      </c>
      <c r="FM13" s="173">
        <v>0</v>
      </c>
      <c r="FN13" s="273"/>
      <c r="FO13" s="275"/>
      <c r="FP13" s="173" t="s">
        <v>354</v>
      </c>
      <c r="FQ13" s="173">
        <v>0</v>
      </c>
      <c r="FR13" s="273"/>
    </row>
    <row r="14" spans="1:174" ht="12.75">
      <c r="A14" s="173"/>
      <c r="C14" s="173"/>
      <c r="D14" s="173" t="s">
        <v>216</v>
      </c>
      <c r="E14" s="179"/>
      <c r="G14" s="173"/>
      <c r="H14" s="173" t="s">
        <v>216</v>
      </c>
      <c r="I14" s="179"/>
      <c r="K14" s="173"/>
      <c r="L14" s="173" t="s">
        <v>216</v>
      </c>
      <c r="M14" s="179"/>
      <c r="O14" s="173"/>
      <c r="P14" s="173" t="s">
        <v>216</v>
      </c>
      <c r="Q14" s="179"/>
      <c r="S14" s="275"/>
      <c r="T14" s="173" t="s">
        <v>216</v>
      </c>
      <c r="U14" s="179"/>
      <c r="V14" s="273"/>
      <c r="W14" s="275"/>
      <c r="X14" s="173" t="s">
        <v>216</v>
      </c>
      <c r="Y14" s="179"/>
      <c r="Z14" s="273"/>
      <c r="AA14" s="275"/>
      <c r="AB14" s="173" t="s">
        <v>216</v>
      </c>
      <c r="AC14" s="179"/>
      <c r="AD14" s="273"/>
      <c r="AE14" s="275"/>
      <c r="AF14" s="173" t="s">
        <v>216</v>
      </c>
      <c r="AG14" s="179"/>
      <c r="AH14" s="273"/>
      <c r="AI14" s="275"/>
      <c r="AJ14" s="173" t="s">
        <v>216</v>
      </c>
      <c r="AK14" s="179"/>
      <c r="AL14" s="273"/>
      <c r="AM14" s="275"/>
      <c r="AN14" s="173" t="s">
        <v>216</v>
      </c>
      <c r="AO14" s="179"/>
      <c r="AP14" s="273"/>
      <c r="AQ14" s="275"/>
      <c r="AR14" s="173" t="s">
        <v>216</v>
      </c>
      <c r="AS14" s="179"/>
      <c r="AT14" s="273"/>
      <c r="AU14" s="275"/>
      <c r="AV14" s="173" t="s">
        <v>216</v>
      </c>
      <c r="AW14" s="179"/>
      <c r="AX14" s="273"/>
      <c r="AY14" s="275"/>
      <c r="AZ14" s="173" t="s">
        <v>216</v>
      </c>
      <c r="BA14" s="179"/>
      <c r="BB14" s="273"/>
      <c r="BC14" s="275"/>
      <c r="BD14" s="173" t="s">
        <v>216</v>
      </c>
      <c r="BE14" s="179"/>
      <c r="BF14" s="273"/>
      <c r="BG14" s="275"/>
      <c r="BH14" s="173" t="s">
        <v>216</v>
      </c>
      <c r="BI14" s="179"/>
      <c r="BJ14" s="273"/>
      <c r="BK14" s="275"/>
      <c r="BL14" s="173" t="s">
        <v>216</v>
      </c>
      <c r="BM14" s="179"/>
      <c r="BN14" s="273"/>
      <c r="BO14" s="275"/>
      <c r="BP14" s="173" t="s">
        <v>216</v>
      </c>
      <c r="BQ14" s="179"/>
      <c r="BR14" s="273"/>
      <c r="BS14" s="275"/>
      <c r="BT14" s="173" t="s">
        <v>216</v>
      </c>
      <c r="BU14" s="179"/>
      <c r="BV14" s="273"/>
      <c r="BW14" s="275"/>
      <c r="BX14" s="173" t="s">
        <v>216</v>
      </c>
      <c r="BY14" s="179"/>
      <c r="BZ14" s="273"/>
      <c r="CA14" s="275"/>
      <c r="CB14" s="173" t="s">
        <v>216</v>
      </c>
      <c r="CC14" s="179"/>
      <c r="CD14" s="273"/>
      <c r="CE14" s="275"/>
      <c r="CF14" s="173" t="s">
        <v>216</v>
      </c>
      <c r="CG14" s="179"/>
      <c r="CH14" s="273"/>
      <c r="CI14" s="275"/>
      <c r="CJ14" s="173" t="s">
        <v>216</v>
      </c>
      <c r="CK14" s="179"/>
      <c r="CL14" s="273"/>
      <c r="CM14" s="275"/>
      <c r="CN14" s="173" t="s">
        <v>216</v>
      </c>
      <c r="CO14" s="179"/>
      <c r="CP14" s="273"/>
      <c r="CQ14" s="275"/>
      <c r="CR14" s="173" t="s">
        <v>216</v>
      </c>
      <c r="CS14" s="179"/>
      <c r="CT14" s="273"/>
      <c r="CU14" s="275"/>
      <c r="CV14" s="173" t="s">
        <v>216</v>
      </c>
      <c r="CW14" s="179"/>
      <c r="CX14" s="273"/>
      <c r="CY14" s="275"/>
      <c r="CZ14" s="173" t="s">
        <v>216</v>
      </c>
      <c r="DA14" s="179"/>
      <c r="DB14" s="273"/>
      <c r="DC14" s="275"/>
      <c r="DD14" s="173" t="s">
        <v>216</v>
      </c>
      <c r="DE14" s="179"/>
      <c r="DF14" s="273"/>
      <c r="DG14" s="275"/>
      <c r="DH14" s="173" t="s">
        <v>216</v>
      </c>
      <c r="DI14" s="179"/>
      <c r="DJ14" s="273"/>
      <c r="DK14" s="275"/>
      <c r="DL14" s="173" t="s">
        <v>216</v>
      </c>
      <c r="DM14" s="179"/>
      <c r="DN14" s="273"/>
      <c r="DO14" s="275"/>
      <c r="DP14" s="173" t="s">
        <v>216</v>
      </c>
      <c r="DQ14" s="179"/>
      <c r="DR14" s="273"/>
      <c r="DS14" s="275"/>
      <c r="DT14" s="173" t="s">
        <v>216</v>
      </c>
      <c r="DU14" s="179"/>
      <c r="DV14" s="273"/>
      <c r="DW14" s="275"/>
      <c r="DX14" s="173" t="s">
        <v>216</v>
      </c>
      <c r="DY14" s="179"/>
      <c r="DZ14" s="273"/>
      <c r="EA14" s="275"/>
      <c r="EB14" s="173" t="s">
        <v>216</v>
      </c>
      <c r="EC14" s="179"/>
      <c r="ED14" s="273"/>
      <c r="EE14" s="275"/>
      <c r="EF14" s="173" t="s">
        <v>216</v>
      </c>
      <c r="EG14" s="179"/>
      <c r="EH14" s="273"/>
      <c r="EI14" s="275"/>
      <c r="EJ14" s="173" t="s">
        <v>216</v>
      </c>
      <c r="EK14" s="179"/>
      <c r="EL14" s="273"/>
      <c r="EM14" s="275"/>
      <c r="EN14" s="173" t="s">
        <v>216</v>
      </c>
      <c r="EO14" s="179"/>
      <c r="EP14" s="273"/>
      <c r="EQ14" s="275"/>
      <c r="ER14" s="173" t="s">
        <v>216</v>
      </c>
      <c r="ES14" s="179"/>
      <c r="ET14" s="273"/>
      <c r="EU14" s="275"/>
      <c r="EV14" s="173" t="s">
        <v>216</v>
      </c>
      <c r="EW14" s="179"/>
      <c r="EX14" s="273"/>
      <c r="EY14" s="275"/>
      <c r="EZ14" s="173" t="s">
        <v>216</v>
      </c>
      <c r="FA14" s="179"/>
      <c r="FB14" s="273"/>
      <c r="FC14" s="275"/>
      <c r="FD14" s="173" t="s">
        <v>216</v>
      </c>
      <c r="FE14" s="179"/>
      <c r="FF14" s="273"/>
      <c r="FG14" s="275"/>
      <c r="FH14" s="173" t="s">
        <v>216</v>
      </c>
      <c r="FI14" s="179"/>
      <c r="FJ14" s="273"/>
      <c r="FK14" s="275"/>
      <c r="FL14" s="173" t="s">
        <v>216</v>
      </c>
      <c r="FM14" s="179"/>
      <c r="FN14" s="273"/>
      <c r="FO14" s="275"/>
      <c r="FP14" s="173" t="s">
        <v>216</v>
      </c>
      <c r="FQ14" s="179"/>
      <c r="FR14" s="273"/>
    </row>
    <row r="15" spans="1:174" ht="12.75">
      <c r="A15" s="173"/>
      <c r="C15" s="173"/>
      <c r="D15" s="173"/>
      <c r="E15" s="173"/>
      <c r="G15" s="173"/>
      <c r="H15" s="173"/>
      <c r="I15" s="173"/>
      <c r="K15" s="173"/>
      <c r="L15" s="173"/>
      <c r="M15" s="173"/>
      <c r="O15" s="173"/>
      <c r="P15" s="173"/>
      <c r="Q15" s="173"/>
      <c r="S15" s="275"/>
      <c r="T15" s="173"/>
      <c r="U15" s="173"/>
      <c r="V15" s="273"/>
      <c r="W15" s="275"/>
      <c r="X15" s="173"/>
      <c r="Y15" s="173"/>
      <c r="Z15" s="273"/>
      <c r="AA15" s="275"/>
      <c r="AB15" s="173"/>
      <c r="AC15" s="173"/>
      <c r="AD15" s="273"/>
      <c r="AE15" s="275"/>
      <c r="AF15" s="173"/>
      <c r="AG15" s="173"/>
      <c r="AH15" s="273"/>
      <c r="AI15" s="275"/>
      <c r="AJ15" s="173"/>
      <c r="AK15" s="173"/>
      <c r="AL15" s="273"/>
      <c r="AM15" s="275"/>
      <c r="AN15" s="173"/>
      <c r="AO15" s="173"/>
      <c r="AP15" s="273"/>
      <c r="AQ15" s="275"/>
      <c r="AR15" s="173"/>
      <c r="AS15" s="173"/>
      <c r="AT15" s="273"/>
      <c r="AU15" s="275"/>
      <c r="AV15" s="173"/>
      <c r="AW15" s="173"/>
      <c r="AX15" s="273"/>
      <c r="AY15" s="275"/>
      <c r="AZ15" s="173"/>
      <c r="BA15" s="173"/>
      <c r="BB15" s="273"/>
      <c r="BC15" s="275"/>
      <c r="BD15" s="173"/>
      <c r="BE15" s="173"/>
      <c r="BF15" s="273"/>
      <c r="BG15" s="275"/>
      <c r="BH15" s="173"/>
      <c r="BI15" s="173"/>
      <c r="BJ15" s="273"/>
      <c r="BK15" s="275"/>
      <c r="BL15" s="173"/>
      <c r="BM15" s="173"/>
      <c r="BN15" s="273"/>
      <c r="BO15" s="275"/>
      <c r="BP15" s="173"/>
      <c r="BQ15" s="173"/>
      <c r="BR15" s="273"/>
      <c r="BS15" s="275"/>
      <c r="BT15" s="173"/>
      <c r="BU15" s="173"/>
      <c r="BV15" s="273"/>
      <c r="BW15" s="275"/>
      <c r="BX15" s="173"/>
      <c r="BY15" s="173"/>
      <c r="BZ15" s="273"/>
      <c r="CA15" s="275"/>
      <c r="CB15" s="173"/>
      <c r="CC15" s="173"/>
      <c r="CD15" s="273"/>
      <c r="CE15" s="275"/>
      <c r="CF15" s="173"/>
      <c r="CG15" s="173"/>
      <c r="CH15" s="273"/>
      <c r="CI15" s="275"/>
      <c r="CJ15" s="173"/>
      <c r="CK15" s="173"/>
      <c r="CL15" s="273"/>
      <c r="CM15" s="275"/>
      <c r="CN15" s="173"/>
      <c r="CO15" s="173"/>
      <c r="CP15" s="273"/>
      <c r="CQ15" s="275"/>
      <c r="CR15" s="173"/>
      <c r="CS15" s="173"/>
      <c r="CT15" s="273"/>
      <c r="CU15" s="275"/>
      <c r="CV15" s="173"/>
      <c r="CW15" s="173"/>
      <c r="CX15" s="273"/>
      <c r="CY15" s="275"/>
      <c r="CZ15" s="173"/>
      <c r="DA15" s="173"/>
      <c r="DB15" s="273"/>
      <c r="DC15" s="275"/>
      <c r="DD15" s="173"/>
      <c r="DE15" s="173"/>
      <c r="DF15" s="273"/>
      <c r="DG15" s="275"/>
      <c r="DH15" s="173"/>
      <c r="DI15" s="173"/>
      <c r="DJ15" s="273"/>
      <c r="DK15" s="275"/>
      <c r="DL15" s="173"/>
      <c r="DM15" s="173"/>
      <c r="DN15" s="273"/>
      <c r="DO15" s="275"/>
      <c r="DP15" s="173"/>
      <c r="DQ15" s="173"/>
      <c r="DR15" s="273"/>
      <c r="DS15" s="275"/>
      <c r="DT15" s="173"/>
      <c r="DU15" s="173"/>
      <c r="DV15" s="273"/>
      <c r="DW15" s="275"/>
      <c r="DX15" s="173"/>
      <c r="DY15" s="173"/>
      <c r="DZ15" s="273"/>
      <c r="EA15" s="275"/>
      <c r="EB15" s="173"/>
      <c r="EC15" s="173"/>
      <c r="ED15" s="273"/>
      <c r="EE15" s="275"/>
      <c r="EF15" s="173"/>
      <c r="EG15" s="173"/>
      <c r="EH15" s="273"/>
      <c r="EI15" s="275"/>
      <c r="EJ15" s="173"/>
      <c r="EK15" s="173"/>
      <c r="EL15" s="273"/>
      <c r="EM15" s="275"/>
      <c r="EN15" s="173"/>
      <c r="EO15" s="173"/>
      <c r="EP15" s="273"/>
      <c r="EQ15" s="275"/>
      <c r="ER15" s="173"/>
      <c r="ES15" s="173"/>
      <c r="ET15" s="273"/>
      <c r="EU15" s="275"/>
      <c r="EV15" s="173"/>
      <c r="EW15" s="173"/>
      <c r="EX15" s="273"/>
      <c r="EY15" s="275"/>
      <c r="EZ15" s="173"/>
      <c r="FA15" s="173"/>
      <c r="FB15" s="273"/>
      <c r="FC15" s="275"/>
      <c r="FD15" s="173"/>
      <c r="FE15" s="173"/>
      <c r="FF15" s="273"/>
      <c r="FG15" s="275"/>
      <c r="FH15" s="173"/>
      <c r="FI15" s="173"/>
      <c r="FJ15" s="273"/>
      <c r="FK15" s="275"/>
      <c r="FL15" s="173"/>
      <c r="FM15" s="173"/>
      <c r="FN15" s="273"/>
      <c r="FO15" s="275"/>
      <c r="FP15" s="173"/>
      <c r="FQ15" s="173"/>
      <c r="FR15" s="273"/>
    </row>
    <row r="16" spans="1:174" ht="12.75">
      <c r="A16" s="182" t="s">
        <v>117</v>
      </c>
      <c r="C16" s="173"/>
      <c r="D16" s="173"/>
      <c r="E16" s="173"/>
      <c r="G16" s="173"/>
      <c r="H16" s="173"/>
      <c r="I16" s="173"/>
      <c r="K16" s="173"/>
      <c r="L16" s="173"/>
      <c r="M16" s="173"/>
      <c r="O16" s="173"/>
      <c r="P16" s="173"/>
      <c r="Q16" s="173"/>
      <c r="S16" s="275"/>
      <c r="T16" s="173"/>
      <c r="U16" s="173"/>
      <c r="V16" s="273"/>
      <c r="W16" s="275"/>
      <c r="X16" s="173"/>
      <c r="Y16" s="173"/>
      <c r="Z16" s="273"/>
      <c r="AA16" s="275"/>
      <c r="AB16" s="173"/>
      <c r="AC16" s="173"/>
      <c r="AD16" s="273"/>
      <c r="AE16" s="275"/>
      <c r="AF16" s="173"/>
      <c r="AG16" s="173"/>
      <c r="AH16" s="273"/>
      <c r="AI16" s="275"/>
      <c r="AJ16" s="173"/>
      <c r="AK16" s="173"/>
      <c r="AL16" s="273"/>
      <c r="AM16" s="275"/>
      <c r="AN16" s="173"/>
      <c r="AO16" s="173"/>
      <c r="AP16" s="273"/>
      <c r="AQ16" s="275"/>
      <c r="AR16" s="173"/>
      <c r="AS16" s="173"/>
      <c r="AT16" s="273"/>
      <c r="AU16" s="275"/>
      <c r="AV16" s="173"/>
      <c r="AW16" s="173"/>
      <c r="AX16" s="273"/>
      <c r="AY16" s="275"/>
      <c r="AZ16" s="173"/>
      <c r="BA16" s="173"/>
      <c r="BB16" s="273"/>
      <c r="BC16" s="275"/>
      <c r="BD16" s="173"/>
      <c r="BE16" s="173"/>
      <c r="BF16" s="273"/>
      <c r="BG16" s="275"/>
      <c r="BH16" s="173"/>
      <c r="BI16" s="173"/>
      <c r="BJ16" s="273"/>
      <c r="BK16" s="275"/>
      <c r="BL16" s="173"/>
      <c r="BM16" s="173"/>
      <c r="BN16" s="273"/>
      <c r="BO16" s="275"/>
      <c r="BP16" s="173"/>
      <c r="BQ16" s="173"/>
      <c r="BR16" s="273"/>
      <c r="BS16" s="275"/>
      <c r="BT16" s="173"/>
      <c r="BU16" s="173"/>
      <c r="BV16" s="273"/>
      <c r="BW16" s="275"/>
      <c r="BX16" s="173"/>
      <c r="BY16" s="173"/>
      <c r="BZ16" s="273"/>
      <c r="CA16" s="275"/>
      <c r="CB16" s="173"/>
      <c r="CC16" s="173"/>
      <c r="CD16" s="273"/>
      <c r="CE16" s="275"/>
      <c r="CF16" s="173"/>
      <c r="CG16" s="173"/>
      <c r="CH16" s="273"/>
      <c r="CI16" s="275"/>
      <c r="CJ16" s="173"/>
      <c r="CK16" s="173"/>
      <c r="CL16" s="273"/>
      <c r="CM16" s="275"/>
      <c r="CN16" s="173"/>
      <c r="CO16" s="173"/>
      <c r="CP16" s="273"/>
      <c r="CQ16" s="275"/>
      <c r="CR16" s="173"/>
      <c r="CS16" s="173"/>
      <c r="CT16" s="273"/>
      <c r="CU16" s="275"/>
      <c r="CV16" s="173"/>
      <c r="CW16" s="173"/>
      <c r="CX16" s="273"/>
      <c r="CY16" s="275"/>
      <c r="CZ16" s="173"/>
      <c r="DA16" s="173"/>
      <c r="DB16" s="273"/>
      <c r="DC16" s="275"/>
      <c r="DD16" s="173"/>
      <c r="DE16" s="173"/>
      <c r="DF16" s="273"/>
      <c r="DG16" s="275"/>
      <c r="DH16" s="173"/>
      <c r="DI16" s="173"/>
      <c r="DJ16" s="273"/>
      <c r="DK16" s="275"/>
      <c r="DL16" s="173"/>
      <c r="DM16" s="173"/>
      <c r="DN16" s="273"/>
      <c r="DO16" s="275"/>
      <c r="DP16" s="173"/>
      <c r="DQ16" s="173"/>
      <c r="DR16" s="273"/>
      <c r="DS16" s="275"/>
      <c r="DT16" s="173"/>
      <c r="DU16" s="173"/>
      <c r="DV16" s="273"/>
      <c r="DW16" s="275"/>
      <c r="DX16" s="173"/>
      <c r="DY16" s="173"/>
      <c r="DZ16" s="273"/>
      <c r="EA16" s="275"/>
      <c r="EB16" s="173"/>
      <c r="EC16" s="173"/>
      <c r="ED16" s="273"/>
      <c r="EE16" s="275"/>
      <c r="EF16" s="173"/>
      <c r="EG16" s="173"/>
      <c r="EH16" s="273"/>
      <c r="EI16" s="275"/>
      <c r="EJ16" s="173"/>
      <c r="EK16" s="173"/>
      <c r="EL16" s="273"/>
      <c r="EM16" s="275"/>
      <c r="EN16" s="173"/>
      <c r="EO16" s="173"/>
      <c r="EP16" s="273"/>
      <c r="EQ16" s="275"/>
      <c r="ER16" s="173"/>
      <c r="ES16" s="173"/>
      <c r="ET16" s="273"/>
      <c r="EU16" s="275"/>
      <c r="EV16" s="173"/>
      <c r="EW16" s="173"/>
      <c r="EX16" s="273"/>
      <c r="EY16" s="275"/>
      <c r="EZ16" s="173"/>
      <c r="FA16" s="173"/>
      <c r="FB16" s="273"/>
      <c r="FC16" s="275"/>
      <c r="FD16" s="173"/>
      <c r="FE16" s="173"/>
      <c r="FF16" s="273"/>
      <c r="FG16" s="275"/>
      <c r="FH16" s="173"/>
      <c r="FI16" s="173"/>
      <c r="FJ16" s="273"/>
      <c r="FK16" s="275"/>
      <c r="FL16" s="173"/>
      <c r="FM16" s="173"/>
      <c r="FN16" s="273"/>
      <c r="FO16" s="275"/>
      <c r="FP16" s="173"/>
      <c r="FQ16" s="173"/>
      <c r="FR16" s="273"/>
    </row>
    <row r="17" spans="1:174" ht="12.75">
      <c r="A17" s="182" t="s">
        <v>118</v>
      </c>
      <c r="C17" s="173"/>
      <c r="D17" s="173"/>
      <c r="E17" s="182"/>
      <c r="G17" s="173"/>
      <c r="H17" s="173"/>
      <c r="I17" s="182"/>
      <c r="K17" s="173"/>
      <c r="L17" s="173"/>
      <c r="M17" s="182"/>
      <c r="O17" s="173"/>
      <c r="P17" s="173"/>
      <c r="Q17" s="182"/>
      <c r="S17" s="275"/>
      <c r="T17" s="173"/>
      <c r="U17" s="182"/>
      <c r="V17" s="273"/>
      <c r="W17" s="275"/>
      <c r="X17" s="173"/>
      <c r="Y17" s="182"/>
      <c r="Z17" s="273"/>
      <c r="AA17" s="275"/>
      <c r="AB17" s="173"/>
      <c r="AC17" s="182"/>
      <c r="AD17" s="273"/>
      <c r="AE17" s="275"/>
      <c r="AF17" s="173"/>
      <c r="AG17" s="182"/>
      <c r="AH17" s="273"/>
      <c r="AI17" s="275"/>
      <c r="AJ17" s="173"/>
      <c r="AK17" s="182"/>
      <c r="AL17" s="273"/>
      <c r="AM17" s="275"/>
      <c r="AN17" s="173"/>
      <c r="AO17" s="182"/>
      <c r="AP17" s="273"/>
      <c r="AQ17" s="275"/>
      <c r="AR17" s="173"/>
      <c r="AS17" s="182"/>
      <c r="AT17" s="273"/>
      <c r="AU17" s="275"/>
      <c r="AV17" s="173"/>
      <c r="AW17" s="182"/>
      <c r="AX17" s="273"/>
      <c r="AY17" s="275"/>
      <c r="AZ17" s="173"/>
      <c r="BA17" s="182"/>
      <c r="BB17" s="273"/>
      <c r="BC17" s="275"/>
      <c r="BD17" s="173"/>
      <c r="BE17" s="182"/>
      <c r="BF17" s="273"/>
      <c r="BG17" s="275"/>
      <c r="BH17" s="173"/>
      <c r="BI17" s="182"/>
      <c r="BJ17" s="273"/>
      <c r="BK17" s="275"/>
      <c r="BL17" s="173"/>
      <c r="BM17" s="182"/>
      <c r="BN17" s="273"/>
      <c r="BO17" s="275"/>
      <c r="BP17" s="173"/>
      <c r="BQ17" s="182"/>
      <c r="BR17" s="273"/>
      <c r="BS17" s="275"/>
      <c r="BT17" s="173"/>
      <c r="BU17" s="182"/>
      <c r="BV17" s="273"/>
      <c r="BW17" s="275"/>
      <c r="BX17" s="173"/>
      <c r="BY17" s="182"/>
      <c r="BZ17" s="273"/>
      <c r="CA17" s="275"/>
      <c r="CB17" s="173"/>
      <c r="CC17" s="182"/>
      <c r="CD17" s="273"/>
      <c r="CE17" s="275"/>
      <c r="CF17" s="173"/>
      <c r="CG17" s="182"/>
      <c r="CH17" s="273"/>
      <c r="CI17" s="275"/>
      <c r="CJ17" s="173"/>
      <c r="CK17" s="182"/>
      <c r="CL17" s="273"/>
      <c r="CM17" s="275"/>
      <c r="CN17" s="173"/>
      <c r="CO17" s="182"/>
      <c r="CP17" s="273"/>
      <c r="CQ17" s="275"/>
      <c r="CR17" s="173"/>
      <c r="CS17" s="182"/>
      <c r="CT17" s="273"/>
      <c r="CU17" s="275"/>
      <c r="CV17" s="173"/>
      <c r="CW17" s="182"/>
      <c r="CX17" s="273"/>
      <c r="CY17" s="275"/>
      <c r="CZ17" s="173"/>
      <c r="DA17" s="182"/>
      <c r="DB17" s="273"/>
      <c r="DC17" s="275"/>
      <c r="DD17" s="173"/>
      <c r="DE17" s="182"/>
      <c r="DF17" s="273"/>
      <c r="DG17" s="275"/>
      <c r="DH17" s="173"/>
      <c r="DI17" s="182"/>
      <c r="DJ17" s="273"/>
      <c r="DK17" s="275"/>
      <c r="DL17" s="173"/>
      <c r="DM17" s="182"/>
      <c r="DN17" s="273"/>
      <c r="DO17" s="275"/>
      <c r="DP17" s="173"/>
      <c r="DQ17" s="182"/>
      <c r="DR17" s="273"/>
      <c r="DS17" s="275"/>
      <c r="DT17" s="173"/>
      <c r="DU17" s="182"/>
      <c r="DV17" s="273"/>
      <c r="DW17" s="275"/>
      <c r="DX17" s="173"/>
      <c r="DY17" s="182"/>
      <c r="DZ17" s="273"/>
      <c r="EA17" s="275"/>
      <c r="EB17" s="173"/>
      <c r="EC17" s="182"/>
      <c r="ED17" s="273"/>
      <c r="EE17" s="275"/>
      <c r="EF17" s="173"/>
      <c r="EG17" s="182"/>
      <c r="EH17" s="273"/>
      <c r="EI17" s="275"/>
      <c r="EJ17" s="173"/>
      <c r="EK17" s="182"/>
      <c r="EL17" s="273"/>
      <c r="EM17" s="275"/>
      <c r="EN17" s="173"/>
      <c r="EO17" s="182"/>
      <c r="EP17" s="273"/>
      <c r="EQ17" s="275"/>
      <c r="ER17" s="173"/>
      <c r="ES17" s="182"/>
      <c r="ET17" s="273"/>
      <c r="EU17" s="275"/>
      <c r="EV17" s="173"/>
      <c r="EW17" s="182"/>
      <c r="EX17" s="273"/>
      <c r="EY17" s="275"/>
      <c r="EZ17" s="173"/>
      <c r="FA17" s="182"/>
      <c r="FB17" s="273"/>
      <c r="FC17" s="275"/>
      <c r="FD17" s="173"/>
      <c r="FE17" s="182"/>
      <c r="FF17" s="273"/>
      <c r="FG17" s="275"/>
      <c r="FH17" s="173"/>
      <c r="FI17" s="182"/>
      <c r="FJ17" s="273"/>
      <c r="FK17" s="275"/>
      <c r="FL17" s="173"/>
      <c r="FM17" s="182"/>
      <c r="FN17" s="273"/>
      <c r="FO17" s="275"/>
      <c r="FP17" s="173"/>
      <c r="FQ17" s="182"/>
      <c r="FR17" s="273"/>
    </row>
    <row r="18" spans="1:174" ht="12.75">
      <c r="A18" s="182" t="s">
        <v>119</v>
      </c>
      <c r="B18" t="s">
        <v>350</v>
      </c>
      <c r="C18" s="173"/>
      <c r="D18" s="173" t="s">
        <v>411</v>
      </c>
      <c r="E18" s="249">
        <f>E6</f>
        <v>0</v>
      </c>
      <c r="G18" s="173"/>
      <c r="H18" s="173" t="s">
        <v>411</v>
      </c>
      <c r="I18" s="249">
        <f>I6</f>
        <v>0</v>
      </c>
      <c r="K18" s="173"/>
      <c r="L18" s="173" t="s">
        <v>411</v>
      </c>
      <c r="M18" s="249">
        <f>M6</f>
        <v>-1736.84</v>
      </c>
      <c r="O18" s="173"/>
      <c r="P18" s="173" t="s">
        <v>411</v>
      </c>
      <c r="Q18" s="249">
        <f>Q6</f>
        <v>-15380</v>
      </c>
      <c r="S18" s="275"/>
      <c r="T18" s="173" t="s">
        <v>411</v>
      </c>
      <c r="U18" s="249">
        <f>U6</f>
        <v>-105657.08</v>
      </c>
      <c r="V18" s="273"/>
      <c r="W18" s="275"/>
      <c r="X18" s="173" t="s">
        <v>411</v>
      </c>
      <c r="Y18" s="249">
        <f>Y6</f>
        <v>0</v>
      </c>
      <c r="Z18" s="273"/>
      <c r="AA18" s="275"/>
      <c r="AB18" s="173" t="s">
        <v>411</v>
      </c>
      <c r="AC18" s="249">
        <f>AC6</f>
        <v>0</v>
      </c>
      <c r="AD18" s="273"/>
      <c r="AE18" s="275"/>
      <c r="AF18" s="173" t="s">
        <v>411</v>
      </c>
      <c r="AG18" s="249">
        <f>AG6</f>
        <v>-50299.69</v>
      </c>
      <c r="AH18" s="273"/>
      <c r="AI18" s="275"/>
      <c r="AJ18" s="173" t="s">
        <v>411</v>
      </c>
      <c r="AK18" s="249">
        <f>AK6</f>
        <v>42943.44</v>
      </c>
      <c r="AL18" s="273"/>
      <c r="AM18" s="275"/>
      <c r="AN18" s="173" t="s">
        <v>411</v>
      </c>
      <c r="AO18" s="249">
        <f>AO6</f>
        <v>0</v>
      </c>
      <c r="AP18" s="273"/>
      <c r="AQ18" s="275"/>
      <c r="AR18" s="173" t="s">
        <v>411</v>
      </c>
      <c r="AS18" s="249">
        <f>SUM(AS12:AS17)</f>
        <v>-41580.389999999985</v>
      </c>
      <c r="AT18" s="273"/>
      <c r="AU18" s="275"/>
      <c r="AV18" s="173" t="s">
        <v>411</v>
      </c>
      <c r="AW18" s="249">
        <f>SUM(AW12:AW17)</f>
        <v>-301741.9</v>
      </c>
      <c r="AX18" s="273"/>
      <c r="AY18" s="275"/>
      <c r="AZ18" s="173" t="s">
        <v>411</v>
      </c>
      <c r="BA18" s="249">
        <f>BA6</f>
        <v>0</v>
      </c>
      <c r="BB18" s="273"/>
      <c r="BC18" s="275"/>
      <c r="BD18" s="173" t="s">
        <v>411</v>
      </c>
      <c r="BE18" s="249">
        <f>BE6</f>
        <v>0</v>
      </c>
      <c r="BF18" s="273"/>
      <c r="BG18" s="275"/>
      <c r="BH18" s="173" t="s">
        <v>411</v>
      </c>
      <c r="BI18" s="249">
        <f>BI6</f>
        <v>0</v>
      </c>
      <c r="BJ18" s="273"/>
      <c r="BK18" s="275"/>
      <c r="BL18" s="173" t="s">
        <v>411</v>
      </c>
      <c r="BM18" s="249">
        <f>BM6</f>
        <v>0</v>
      </c>
      <c r="BN18" s="273"/>
      <c r="BO18" s="275"/>
      <c r="BP18" s="173" t="s">
        <v>411</v>
      </c>
      <c r="BQ18" s="249">
        <f>BQ6</f>
        <v>-72186.83</v>
      </c>
      <c r="BR18" s="273"/>
      <c r="BS18" s="275"/>
      <c r="BT18" s="173" t="s">
        <v>411</v>
      </c>
      <c r="BU18" s="249">
        <f>BQ18+BU6</f>
        <v>-72186.83</v>
      </c>
      <c r="BV18" s="273"/>
      <c r="BW18" s="275"/>
      <c r="BX18" s="173" t="s">
        <v>411</v>
      </c>
      <c r="BY18" s="249">
        <f>BU18+BY6</f>
        <v>-72186.83</v>
      </c>
      <c r="BZ18" s="273"/>
      <c r="CA18" s="275"/>
      <c r="CB18" s="173" t="s">
        <v>411</v>
      </c>
      <c r="CC18" s="249">
        <f>BY18+CC6</f>
        <v>-94244.22</v>
      </c>
      <c r="CD18" s="273"/>
      <c r="CE18" s="275"/>
      <c r="CF18" s="173" t="s">
        <v>411</v>
      </c>
      <c r="CG18" s="249">
        <f>CC18+CG6</f>
        <v>-94244.22</v>
      </c>
      <c r="CH18" s="273"/>
      <c r="CI18" s="275"/>
      <c r="CJ18" s="173" t="s">
        <v>411</v>
      </c>
      <c r="CK18" s="249">
        <f>CG18+CK6</f>
        <v>-526373.91</v>
      </c>
      <c r="CL18" s="273"/>
      <c r="CM18" s="275"/>
      <c r="CN18" s="173" t="s">
        <v>411</v>
      </c>
      <c r="CO18" s="249">
        <f>CK18+CO6</f>
        <v>-526373.91</v>
      </c>
      <c r="CP18" s="273"/>
      <c r="CQ18" s="275"/>
      <c r="CR18" s="173" t="s">
        <v>411</v>
      </c>
      <c r="CS18" s="249">
        <f>CO18+CS6</f>
        <v>-613373.22</v>
      </c>
      <c r="CT18" s="273"/>
      <c r="CU18" s="275"/>
      <c r="CV18" s="173" t="s">
        <v>411</v>
      </c>
      <c r="CW18" s="249">
        <f>CW6</f>
        <v>0</v>
      </c>
      <c r="CX18" s="273"/>
      <c r="CY18" s="275"/>
      <c r="CZ18" s="173" t="s">
        <v>411</v>
      </c>
      <c r="DA18" s="249">
        <f>DA6</f>
        <v>0</v>
      </c>
      <c r="DB18" s="273"/>
      <c r="DC18" s="275"/>
      <c r="DD18" s="173" t="s">
        <v>411</v>
      </c>
      <c r="DE18" s="249">
        <f>DE6</f>
        <v>0</v>
      </c>
      <c r="DF18" s="273"/>
      <c r="DG18" s="275"/>
      <c r="DH18" s="173" t="s">
        <v>411</v>
      </c>
      <c r="DI18" s="249">
        <f>DI6</f>
        <v>-200501.48</v>
      </c>
      <c r="DJ18" s="273"/>
      <c r="DK18" s="275"/>
      <c r="DL18" s="173" t="s">
        <v>411</v>
      </c>
      <c r="DM18" s="249">
        <f>DI18+DM6</f>
        <v>-200501.48</v>
      </c>
      <c r="DN18" s="273"/>
      <c r="DO18" s="275"/>
      <c r="DP18" s="173" t="s">
        <v>411</v>
      </c>
      <c r="DQ18" s="249">
        <f>DM18+DQ6</f>
        <v>-270661.48</v>
      </c>
      <c r="DR18" s="273"/>
      <c r="DS18" s="275"/>
      <c r="DT18" s="173" t="s">
        <v>411</v>
      </c>
      <c r="DU18" s="249">
        <f>DQ18+DU6</f>
        <v>-270661.48</v>
      </c>
      <c r="DV18" s="273"/>
      <c r="DW18" s="275"/>
      <c r="DX18" s="173" t="s">
        <v>411</v>
      </c>
      <c r="DY18" s="249">
        <f>DU18+DY6</f>
        <v>-270661.48</v>
      </c>
      <c r="DZ18" s="273"/>
      <c r="EA18" s="275"/>
      <c r="EB18" s="173" t="s">
        <v>411</v>
      </c>
      <c r="EC18" s="249">
        <f>DY18+EC6</f>
        <v>-270661.48</v>
      </c>
      <c r="ED18" s="273"/>
      <c r="EE18" s="275"/>
      <c r="EF18" s="173" t="s">
        <v>411</v>
      </c>
      <c r="EG18" s="249">
        <f>EC18+EG6</f>
        <v>-296313.66</v>
      </c>
      <c r="EH18" s="273"/>
      <c r="EI18" s="275"/>
      <c r="EJ18" s="173" t="s">
        <v>411</v>
      </c>
      <c r="EK18" s="249">
        <f>EG18+EK6</f>
        <v>-374012.85</v>
      </c>
      <c r="EL18" s="273"/>
      <c r="EM18" s="275"/>
      <c r="EN18" s="173" t="s">
        <v>411</v>
      </c>
      <c r="EO18" s="249">
        <f>EK18+EO6</f>
        <v>-735809.54</v>
      </c>
      <c r="EP18" s="273"/>
      <c r="EQ18" s="275"/>
      <c r="ER18" s="173" t="s">
        <v>411</v>
      </c>
      <c r="ES18" s="249">
        <v>0</v>
      </c>
      <c r="ET18" s="273"/>
      <c r="EU18" s="275"/>
      <c r="EV18" s="173" t="s">
        <v>411</v>
      </c>
      <c r="EW18" s="249">
        <f>ES18+EW6</f>
        <v>0</v>
      </c>
      <c r="EX18" s="273"/>
      <c r="EY18" s="275"/>
      <c r="EZ18" s="173" t="s">
        <v>411</v>
      </c>
      <c r="FA18" s="249">
        <f>EW18+FA6</f>
        <v>0</v>
      </c>
      <c r="FB18" s="273"/>
      <c r="FC18" s="275"/>
      <c r="FD18" s="173" t="s">
        <v>411</v>
      </c>
      <c r="FE18" s="249">
        <f>FA18+FE6</f>
        <v>0</v>
      </c>
      <c r="FF18" s="273"/>
      <c r="FG18" s="275"/>
      <c r="FH18" s="173" t="s">
        <v>411</v>
      </c>
      <c r="FI18" s="249">
        <f>FE18+FI6</f>
        <v>0</v>
      </c>
      <c r="FJ18" s="273"/>
      <c r="FK18" s="275"/>
      <c r="FL18" s="173" t="s">
        <v>411</v>
      </c>
      <c r="FM18" s="249">
        <f>FI18+FM6</f>
        <v>0</v>
      </c>
      <c r="FN18" s="273"/>
      <c r="FO18" s="275"/>
      <c r="FP18" s="173" t="s">
        <v>411</v>
      </c>
      <c r="FQ18" s="249">
        <f>FM18+FQ6</f>
        <v>0</v>
      </c>
      <c r="FR18" s="273"/>
    </row>
    <row r="19" spans="1:174" ht="12.75">
      <c r="A19" s="173"/>
      <c r="C19" s="173"/>
      <c r="D19" s="173"/>
      <c r="E19" s="173"/>
      <c r="G19" s="173"/>
      <c r="H19" s="173"/>
      <c r="I19" s="173"/>
      <c r="K19" s="173"/>
      <c r="L19" s="173"/>
      <c r="M19" s="173"/>
      <c r="O19" s="173"/>
      <c r="P19" s="173"/>
      <c r="Q19" s="173"/>
      <c r="S19" s="275"/>
      <c r="T19" s="173"/>
      <c r="U19" s="173"/>
      <c r="V19" s="273"/>
      <c r="W19" s="275"/>
      <c r="X19" s="173"/>
      <c r="Y19" s="173"/>
      <c r="Z19" s="273"/>
      <c r="AA19" s="275"/>
      <c r="AB19" s="173"/>
      <c r="AC19" s="173"/>
      <c r="AD19" s="273"/>
      <c r="AE19" s="275"/>
      <c r="AF19" s="173"/>
      <c r="AG19" s="173"/>
      <c r="AH19" s="273"/>
      <c r="AI19" s="275"/>
      <c r="AJ19" s="173"/>
      <c r="AK19" s="173"/>
      <c r="AL19" s="273"/>
      <c r="AM19" s="275"/>
      <c r="AN19" s="173"/>
      <c r="AO19" s="173"/>
      <c r="AP19" s="273"/>
      <c r="AQ19" s="275"/>
      <c r="AR19" s="173"/>
      <c r="AS19" s="173"/>
      <c r="AT19" s="273"/>
      <c r="AU19" s="275"/>
      <c r="AV19" s="173"/>
      <c r="AW19" s="173"/>
      <c r="AX19" s="273"/>
      <c r="AY19" s="275"/>
      <c r="AZ19" s="173"/>
      <c r="BA19" s="173"/>
      <c r="BB19" s="273"/>
      <c r="BC19" s="275"/>
      <c r="BD19" s="173"/>
      <c r="BE19" s="173"/>
      <c r="BF19" s="273"/>
      <c r="BG19" s="275"/>
      <c r="BH19" s="173"/>
      <c r="BI19" s="173"/>
      <c r="BJ19" s="273"/>
      <c r="BK19" s="275"/>
      <c r="BL19" s="173"/>
      <c r="BM19" s="173"/>
      <c r="BN19" s="273"/>
      <c r="BO19" s="275"/>
      <c r="BP19" s="173"/>
      <c r="BQ19" s="173"/>
      <c r="BR19" s="273"/>
      <c r="BS19" s="275"/>
      <c r="BT19" s="173"/>
      <c r="BU19" s="173"/>
      <c r="BV19" s="273"/>
      <c r="BW19" s="275"/>
      <c r="BX19" s="173"/>
      <c r="BY19" s="173"/>
      <c r="BZ19" s="273"/>
      <c r="CA19" s="275"/>
      <c r="CB19" s="173"/>
      <c r="CC19" s="173"/>
      <c r="CD19" s="273"/>
      <c r="CE19" s="275"/>
      <c r="CF19" s="173"/>
      <c r="CG19" s="173"/>
      <c r="CH19" s="273"/>
      <c r="CI19" s="275"/>
      <c r="CJ19" s="173"/>
      <c r="CK19" s="173"/>
      <c r="CL19" s="273"/>
      <c r="CM19" s="275"/>
      <c r="CN19" s="173"/>
      <c r="CO19" s="173"/>
      <c r="CP19" s="273"/>
      <c r="CQ19" s="275"/>
      <c r="CR19" s="173"/>
      <c r="CS19" s="173"/>
      <c r="CT19" s="273"/>
      <c r="CU19" s="275"/>
      <c r="CV19" s="173"/>
      <c r="CW19" s="173"/>
      <c r="CX19" s="273"/>
      <c r="CY19" s="275"/>
      <c r="CZ19" s="173"/>
      <c r="DA19" s="173"/>
      <c r="DB19" s="273"/>
      <c r="DC19" s="275"/>
      <c r="DD19" s="173"/>
      <c r="DE19" s="173"/>
      <c r="DF19" s="273"/>
      <c r="DG19" s="275"/>
      <c r="DH19" s="173"/>
      <c r="DI19" s="173"/>
      <c r="DJ19" s="273"/>
      <c r="DK19" s="275"/>
      <c r="DL19" s="173"/>
      <c r="DM19" s="173"/>
      <c r="DN19" s="273"/>
      <c r="DO19" s="275"/>
      <c r="DP19" s="173"/>
      <c r="DQ19" s="173"/>
      <c r="DR19" s="273"/>
      <c r="DS19" s="275"/>
      <c r="DT19" s="173"/>
      <c r="DU19" s="173"/>
      <c r="DV19" s="273"/>
      <c r="DW19" s="275"/>
      <c r="DX19" s="173"/>
      <c r="DY19" s="173"/>
      <c r="DZ19" s="273"/>
      <c r="EA19" s="275"/>
      <c r="EB19" s="173"/>
      <c r="EC19" s="173"/>
      <c r="ED19" s="273"/>
      <c r="EE19" s="275"/>
      <c r="EF19" s="173"/>
      <c r="EG19" s="173"/>
      <c r="EH19" s="273"/>
      <c r="EI19" s="275"/>
      <c r="EJ19" s="173"/>
      <c r="EK19" s="173"/>
      <c r="EL19" s="273"/>
      <c r="EM19" s="275"/>
      <c r="EN19" s="173"/>
      <c r="EO19" s="173"/>
      <c r="EP19" s="273"/>
      <c r="EQ19" s="275"/>
      <c r="ER19" s="173"/>
      <c r="ES19" s="173"/>
      <c r="ET19" s="273"/>
      <c r="EU19" s="275"/>
      <c r="EV19" s="173"/>
      <c r="EW19" s="173"/>
      <c r="EX19" s="273"/>
      <c r="EY19" s="275"/>
      <c r="EZ19" s="173"/>
      <c r="FA19" s="173"/>
      <c r="FB19" s="273"/>
      <c r="FC19" s="275"/>
      <c r="FD19" s="173"/>
      <c r="FE19" s="173"/>
      <c r="FF19" s="273"/>
      <c r="FG19" s="275"/>
      <c r="FH19" s="173"/>
      <c r="FI19" s="173"/>
      <c r="FJ19" s="273"/>
      <c r="FK19" s="275"/>
      <c r="FL19" s="173"/>
      <c r="FM19" s="173"/>
      <c r="FN19" s="273"/>
      <c r="FO19" s="275"/>
      <c r="FP19" s="173"/>
      <c r="FQ19" s="173"/>
      <c r="FR19" s="273"/>
    </row>
    <row r="20" spans="1:174" ht="12.75">
      <c r="A20" s="173"/>
      <c r="C20" s="266"/>
      <c r="G20" s="266"/>
      <c r="K20" s="266"/>
      <c r="O20" s="266"/>
      <c r="S20" s="276"/>
      <c r="V20" s="273"/>
      <c r="W20" s="276"/>
      <c r="Z20" s="273"/>
      <c r="AA20" s="276"/>
      <c r="AD20" s="273"/>
      <c r="AE20" s="276"/>
      <c r="AH20" s="273"/>
      <c r="AI20" s="276"/>
      <c r="AL20" s="273"/>
      <c r="AM20" s="276"/>
      <c r="AP20" s="273"/>
      <c r="AQ20" s="276"/>
      <c r="AT20" s="273"/>
      <c r="AU20" s="276"/>
      <c r="AX20" s="273"/>
      <c r="AY20" s="276"/>
      <c r="BB20" s="273"/>
      <c r="BC20" s="276"/>
      <c r="BF20" s="273"/>
      <c r="BG20" s="276"/>
      <c r="BJ20" s="273"/>
      <c r="BK20" s="276"/>
      <c r="BN20" s="273"/>
      <c r="BO20" s="276"/>
      <c r="BR20" s="273"/>
      <c r="BS20" s="276"/>
      <c r="BV20" s="273"/>
      <c r="BW20" s="276"/>
      <c r="BZ20" s="273"/>
      <c r="CA20" s="276"/>
      <c r="CD20" s="273"/>
      <c r="CE20" s="276"/>
      <c r="CH20" s="273"/>
      <c r="CI20" s="276"/>
      <c r="CL20" s="273"/>
      <c r="CM20" s="276"/>
      <c r="CP20" s="273"/>
      <c r="CQ20" s="276"/>
      <c r="CT20" s="273"/>
      <c r="CU20" s="276"/>
      <c r="CX20" s="273"/>
      <c r="CY20" s="276"/>
      <c r="DB20" s="273"/>
      <c r="DC20" s="276"/>
      <c r="DF20" s="273"/>
      <c r="DG20" s="276"/>
      <c r="DJ20" s="273"/>
      <c r="DK20" s="276"/>
      <c r="DN20" s="273"/>
      <c r="DO20" s="276"/>
      <c r="DR20" s="273"/>
      <c r="DS20" s="276"/>
      <c r="DV20" s="273"/>
      <c r="DW20" s="276"/>
      <c r="DZ20" s="273"/>
      <c r="EA20" s="276"/>
      <c r="ED20" s="273"/>
      <c r="EE20" s="276"/>
      <c r="EH20" s="273"/>
      <c r="EI20" s="276"/>
      <c r="EL20" s="273"/>
      <c r="EM20" s="276"/>
      <c r="EP20" s="273"/>
      <c r="EQ20" s="276"/>
      <c r="ET20" s="273"/>
      <c r="EU20" s="276"/>
      <c r="EX20" s="273"/>
      <c r="EY20" s="276"/>
      <c r="FB20" s="273"/>
      <c r="FC20" s="276"/>
      <c r="FF20" s="273"/>
      <c r="FG20" s="276"/>
      <c r="FJ20" s="273"/>
      <c r="FK20" s="276"/>
      <c r="FN20" s="273"/>
      <c r="FO20" s="276"/>
      <c r="FR20" s="273"/>
    </row>
    <row r="21" spans="1:174" ht="12.75">
      <c r="A21" s="173"/>
      <c r="S21" s="272"/>
      <c r="V21" s="273"/>
      <c r="W21" s="272"/>
      <c r="Z21" s="273"/>
      <c r="AA21" s="272"/>
      <c r="AD21" s="273"/>
      <c r="AE21" s="272"/>
      <c r="AH21" s="273"/>
      <c r="AI21" s="272"/>
      <c r="AL21" s="273"/>
      <c r="AM21" s="272"/>
      <c r="AP21" s="273"/>
      <c r="AQ21" s="272"/>
      <c r="AT21" s="273"/>
      <c r="AU21" s="272"/>
      <c r="AX21" s="273"/>
      <c r="AY21" s="272"/>
      <c r="BB21" s="273"/>
      <c r="BF21" s="273"/>
      <c r="BG21" s="272"/>
      <c r="BJ21" s="273"/>
      <c r="BK21" s="272"/>
      <c r="BN21" s="273"/>
      <c r="BO21" s="272"/>
      <c r="BR21" s="273"/>
      <c r="BS21" s="272"/>
      <c r="BV21" s="273"/>
      <c r="BW21" s="272"/>
      <c r="BZ21" s="273"/>
      <c r="CA21" s="272"/>
      <c r="CD21" s="273"/>
      <c r="CE21" s="272"/>
      <c r="CH21" s="273"/>
      <c r="CI21" s="272"/>
      <c r="CL21" s="273"/>
      <c r="CM21" s="272"/>
      <c r="CP21" s="273"/>
      <c r="CQ21" s="296" t="s">
        <v>534</v>
      </c>
      <c r="CR21" s="297">
        <v>4704152.46</v>
      </c>
      <c r="CT21" s="273"/>
      <c r="CU21" s="296" t="s">
        <v>534</v>
      </c>
      <c r="CV21" s="297">
        <v>4704152.46</v>
      </c>
      <c r="CX21" s="273"/>
      <c r="CY21" s="296" t="s">
        <v>534</v>
      </c>
      <c r="CZ21" s="297">
        <v>4704152.46</v>
      </c>
      <c r="DB21" s="273"/>
      <c r="DC21" s="296" t="s">
        <v>534</v>
      </c>
      <c r="DD21" s="297">
        <v>4704152.46</v>
      </c>
      <c r="DF21" s="273"/>
      <c r="DG21" s="296" t="s">
        <v>534</v>
      </c>
      <c r="DH21" s="297">
        <v>4704152.46</v>
      </c>
      <c r="DJ21" s="273"/>
      <c r="DK21" s="296" t="s">
        <v>534</v>
      </c>
      <c r="DL21" s="297">
        <v>4704152.46</v>
      </c>
      <c r="DN21" s="273"/>
      <c r="DO21" s="296" t="s">
        <v>534</v>
      </c>
      <c r="DP21" s="297">
        <v>4704152.46</v>
      </c>
      <c r="DR21" s="273"/>
      <c r="DS21" s="296" t="s">
        <v>534</v>
      </c>
      <c r="DT21" s="297">
        <v>5233277.38</v>
      </c>
      <c r="DV21" s="273"/>
      <c r="DW21" s="296" t="s">
        <v>534</v>
      </c>
      <c r="DX21" s="297">
        <v>4704152.46</v>
      </c>
      <c r="DZ21" s="273"/>
      <c r="EA21" s="296" t="s">
        <v>534</v>
      </c>
      <c r="EB21" s="297">
        <v>4704152.46</v>
      </c>
      <c r="ED21" s="273"/>
      <c r="EE21" s="296" t="s">
        <v>534</v>
      </c>
      <c r="EF21" s="297">
        <v>4704152.46</v>
      </c>
      <c r="EH21" s="273"/>
      <c r="EI21" s="296" t="s">
        <v>534</v>
      </c>
      <c r="EJ21" s="297">
        <v>4704152.46</v>
      </c>
      <c r="EL21" s="273"/>
      <c r="EM21" s="296" t="s">
        <v>534</v>
      </c>
      <c r="EN21" s="297">
        <v>4704152.46</v>
      </c>
      <c r="EP21" s="273"/>
      <c r="EQ21" s="296" t="s">
        <v>534</v>
      </c>
      <c r="ER21" s="297">
        <v>4704152.46</v>
      </c>
      <c r="ET21" s="273"/>
      <c r="EU21" s="296" t="s">
        <v>534</v>
      </c>
      <c r="EV21" s="297">
        <v>4704152.46</v>
      </c>
      <c r="EX21" s="273"/>
      <c r="EY21" s="296" t="s">
        <v>534</v>
      </c>
      <c r="EZ21" s="297">
        <v>4704152.46</v>
      </c>
      <c r="FB21" s="273"/>
      <c r="FC21" s="296" t="s">
        <v>534</v>
      </c>
      <c r="FD21" s="297">
        <v>4704152.46</v>
      </c>
      <c r="FF21" s="273"/>
      <c r="FG21" s="296" t="s">
        <v>534</v>
      </c>
      <c r="FH21" s="297">
        <v>4704152.46</v>
      </c>
      <c r="FJ21" s="273"/>
      <c r="FK21" s="296" t="s">
        <v>534</v>
      </c>
      <c r="FL21" s="297">
        <v>4704152.46</v>
      </c>
      <c r="FN21" s="273"/>
      <c r="FO21" s="296" t="s">
        <v>534</v>
      </c>
      <c r="FP21" s="297"/>
      <c r="FR21" s="273"/>
    </row>
    <row r="22" spans="1:174" ht="12.75">
      <c r="A22" s="173"/>
      <c r="S22" s="272"/>
      <c r="V22" s="273"/>
      <c r="W22" s="272"/>
      <c r="Z22" s="273"/>
      <c r="AA22" s="272"/>
      <c r="AD22" s="273"/>
      <c r="AE22" s="272"/>
      <c r="AH22" s="273"/>
      <c r="AI22" s="272"/>
      <c r="AL22" s="273"/>
      <c r="AM22" s="272"/>
      <c r="AP22" s="273"/>
      <c r="AQ22" s="272"/>
      <c r="AT22" s="273"/>
      <c r="AU22" s="272"/>
      <c r="AX22" s="273"/>
      <c r="AY22" s="272"/>
      <c r="BB22" s="273"/>
      <c r="BF22" s="273"/>
      <c r="BG22" s="272"/>
      <c r="BJ22" s="273"/>
      <c r="BK22" s="272"/>
      <c r="BN22" s="273"/>
      <c r="BO22" s="272"/>
      <c r="BR22" s="273"/>
      <c r="BS22" s="272"/>
      <c r="BV22" s="273"/>
      <c r="BW22" s="272"/>
      <c r="BZ22" s="273"/>
      <c r="CA22" s="272"/>
      <c r="CD22" s="273"/>
      <c r="CE22" s="272"/>
      <c r="CH22" s="273"/>
      <c r="CI22" s="272"/>
      <c r="CL22" s="273"/>
      <c r="CM22" s="272"/>
      <c r="CP22" s="273"/>
      <c r="CQ22" s="296" t="s">
        <v>535</v>
      </c>
      <c r="CR22" s="297">
        <v>1155991.84</v>
      </c>
      <c r="CT22" s="273"/>
      <c r="CU22" s="296" t="s">
        <v>535</v>
      </c>
      <c r="CV22" s="297">
        <v>1155991.84</v>
      </c>
      <c r="CX22" s="273"/>
      <c r="CY22" s="296" t="s">
        <v>535</v>
      </c>
      <c r="CZ22" s="297">
        <v>1155991.84</v>
      </c>
      <c r="DB22" s="273"/>
      <c r="DC22" s="296" t="s">
        <v>535</v>
      </c>
      <c r="DD22" s="297">
        <v>1155991.84</v>
      </c>
      <c r="DF22" s="273"/>
      <c r="DG22" s="296" t="s">
        <v>535</v>
      </c>
      <c r="DH22" s="297">
        <v>1155991.84</v>
      </c>
      <c r="DJ22" s="273"/>
      <c r="DK22" s="296" t="s">
        <v>535</v>
      </c>
      <c r="DL22" s="297">
        <v>1155991.84</v>
      </c>
      <c r="DN22" s="273"/>
      <c r="DO22" s="296" t="s">
        <v>535</v>
      </c>
      <c r="DP22" s="297">
        <v>1155991.84</v>
      </c>
      <c r="DR22" s="273"/>
      <c r="DS22" s="296" t="s">
        <v>535</v>
      </c>
      <c r="DT22" s="297"/>
      <c r="DV22" s="273"/>
      <c r="DW22" s="296" t="s">
        <v>535</v>
      </c>
      <c r="DX22" s="297">
        <v>1155991.84</v>
      </c>
      <c r="DZ22" s="273"/>
      <c r="EA22" s="296" t="s">
        <v>535</v>
      </c>
      <c r="EB22" s="297">
        <v>1155991.84</v>
      </c>
      <c r="ED22" s="273"/>
      <c r="EE22" s="296" t="s">
        <v>535</v>
      </c>
      <c r="EF22" s="297">
        <v>1155991.84</v>
      </c>
      <c r="EH22" s="273"/>
      <c r="EI22" s="296" t="s">
        <v>535</v>
      </c>
      <c r="EJ22" s="297">
        <v>1155991.84</v>
      </c>
      <c r="EL22" s="273"/>
      <c r="EM22" s="296" t="s">
        <v>535</v>
      </c>
      <c r="EN22" s="297">
        <v>1155991.84</v>
      </c>
      <c r="EP22" s="273"/>
      <c r="EQ22" s="296" t="s">
        <v>535</v>
      </c>
      <c r="ER22" s="297">
        <v>1155991.84</v>
      </c>
      <c r="ET22" s="273"/>
      <c r="EU22" s="296" t="s">
        <v>535</v>
      </c>
      <c r="EV22" s="297">
        <v>1155991.84</v>
      </c>
      <c r="EX22" s="273"/>
      <c r="EY22" s="296" t="s">
        <v>535</v>
      </c>
      <c r="EZ22" s="297">
        <v>1155991.84</v>
      </c>
      <c r="FB22" s="273"/>
      <c r="FC22" s="296" t="s">
        <v>535</v>
      </c>
      <c r="FD22" s="297">
        <v>1155991.84</v>
      </c>
      <c r="FF22" s="273"/>
      <c r="FG22" s="296" t="s">
        <v>535</v>
      </c>
      <c r="FH22" s="297">
        <v>1155991.84</v>
      </c>
      <c r="FJ22" s="273"/>
      <c r="FK22" s="296" t="s">
        <v>535</v>
      </c>
      <c r="FL22" s="297">
        <v>1155991.84</v>
      </c>
      <c r="FN22" s="273"/>
      <c r="FO22" s="296" t="s">
        <v>535</v>
      </c>
      <c r="FP22" s="297"/>
      <c r="FR22" s="273"/>
    </row>
    <row r="23" spans="1:174" ht="12.75">
      <c r="A23" s="173"/>
      <c r="S23" s="272"/>
      <c r="V23" s="273"/>
      <c r="W23" s="272"/>
      <c r="Z23" s="273"/>
      <c r="AA23" s="272"/>
      <c r="AD23" s="273"/>
      <c r="AE23" s="272"/>
      <c r="AH23" s="273"/>
      <c r="AI23" s="272"/>
      <c r="AL23" s="273"/>
      <c r="AM23" s="272"/>
      <c r="AP23" s="273"/>
      <c r="AQ23" s="272"/>
      <c r="AT23" s="273"/>
      <c r="AU23" s="272"/>
      <c r="AX23" s="273"/>
      <c r="AY23" s="272"/>
      <c r="BB23" s="273"/>
      <c r="BF23" s="273"/>
      <c r="BG23" s="272"/>
      <c r="BJ23" s="273"/>
      <c r="BK23" s="272"/>
      <c r="BN23" s="273"/>
      <c r="BO23" s="272"/>
      <c r="BR23" s="273"/>
      <c r="BS23" s="272"/>
      <c r="BV23" s="273"/>
      <c r="BW23" s="272"/>
      <c r="BZ23" s="273"/>
      <c r="CA23" s="272"/>
      <c r="CD23" s="273"/>
      <c r="CE23" s="272"/>
      <c r="CH23" s="273"/>
      <c r="CI23" s="272"/>
      <c r="CL23" s="273"/>
      <c r="CM23" s="272"/>
      <c r="CP23" s="273"/>
      <c r="CQ23" s="296" t="s">
        <v>536</v>
      </c>
      <c r="CR23" s="297">
        <v>-613373.22</v>
      </c>
      <c r="CT23" s="273"/>
      <c r="CU23" s="296" t="s">
        <v>536</v>
      </c>
      <c r="CV23" s="297">
        <v>-613373.22</v>
      </c>
      <c r="CX23" s="273"/>
      <c r="CY23" s="296" t="s">
        <v>536</v>
      </c>
      <c r="CZ23" s="297">
        <v>-613373.22</v>
      </c>
      <c r="DB23" s="273"/>
      <c r="DC23" s="296" t="s">
        <v>536</v>
      </c>
      <c r="DD23" s="297">
        <v>-613373.22</v>
      </c>
      <c r="DF23" s="273"/>
      <c r="DG23" s="296" t="s">
        <v>536</v>
      </c>
      <c r="DH23" s="297">
        <v>-613373.22</v>
      </c>
      <c r="DJ23" s="273"/>
      <c r="DK23" s="296" t="s">
        <v>536</v>
      </c>
      <c r="DL23" s="297">
        <v>-613373.22</v>
      </c>
      <c r="DN23" s="273"/>
      <c r="DO23" s="296" t="s">
        <v>536</v>
      </c>
      <c r="DP23" s="297">
        <v>-613373.22</v>
      </c>
      <c r="DR23" s="273"/>
      <c r="DS23" s="296" t="s">
        <v>536</v>
      </c>
      <c r="DT23" s="297">
        <v>-613373.22</v>
      </c>
      <c r="DV23" s="273"/>
      <c r="DW23" s="296" t="s">
        <v>536</v>
      </c>
      <c r="DX23" s="297">
        <v>-613373.22</v>
      </c>
      <c r="DZ23" s="273"/>
      <c r="EA23" s="296" t="s">
        <v>536</v>
      </c>
      <c r="EB23" s="297">
        <v>-613373.22</v>
      </c>
      <c r="ED23" s="273"/>
      <c r="EE23" s="296" t="s">
        <v>536</v>
      </c>
      <c r="EF23" s="297">
        <v>-613373.22</v>
      </c>
      <c r="EH23" s="273"/>
      <c r="EI23" s="296" t="s">
        <v>536</v>
      </c>
      <c r="EJ23" s="297">
        <v>-613373.22</v>
      </c>
      <c r="EL23" s="273"/>
      <c r="EM23" s="296" t="s">
        <v>536</v>
      </c>
      <c r="EN23" s="297">
        <v>-613373.22</v>
      </c>
      <c r="EP23" s="273"/>
      <c r="EQ23" s="296" t="s">
        <v>536</v>
      </c>
      <c r="ER23" s="297">
        <v>-613373.22</v>
      </c>
      <c r="ET23" s="273"/>
      <c r="EU23" s="296" t="s">
        <v>536</v>
      </c>
      <c r="EV23" s="297">
        <v>-613373.22</v>
      </c>
      <c r="EX23" s="273"/>
      <c r="EY23" s="296" t="s">
        <v>536</v>
      </c>
      <c r="EZ23" s="297">
        <v>-613373.22</v>
      </c>
      <c r="FB23" s="273"/>
      <c r="FC23" s="296" t="s">
        <v>536</v>
      </c>
      <c r="FD23" s="297">
        <v>-613373.22</v>
      </c>
      <c r="FF23" s="273"/>
      <c r="FG23" s="296" t="s">
        <v>536</v>
      </c>
      <c r="FH23" s="297">
        <v>-613373.22</v>
      </c>
      <c r="FJ23" s="273"/>
      <c r="FK23" s="296" t="s">
        <v>536</v>
      </c>
      <c r="FL23" s="297">
        <v>-613373.22</v>
      </c>
      <c r="FN23" s="273"/>
      <c r="FO23" s="296" t="s">
        <v>536</v>
      </c>
      <c r="FP23" s="297">
        <v>0</v>
      </c>
      <c r="FR23" s="273"/>
    </row>
    <row r="24" spans="1:174" ht="13.5" thickBot="1">
      <c r="A24" s="173"/>
      <c r="S24" s="272"/>
      <c r="V24" s="273"/>
      <c r="W24" s="272"/>
      <c r="Z24" s="273"/>
      <c r="AA24" s="272"/>
      <c r="AD24" s="273"/>
      <c r="AE24" s="272"/>
      <c r="AH24" s="273"/>
      <c r="AI24" s="272"/>
      <c r="AL24" s="273"/>
      <c r="AM24" s="272"/>
      <c r="AP24" s="273"/>
      <c r="AQ24" s="272"/>
      <c r="AT24" s="273"/>
      <c r="AU24" s="272"/>
      <c r="AX24" s="273"/>
      <c r="AY24" s="272"/>
      <c r="BB24" s="273"/>
      <c r="BF24" s="273"/>
      <c r="BG24" s="272"/>
      <c r="BJ24" s="273"/>
      <c r="BK24" s="272"/>
      <c r="BN24" s="273"/>
      <c r="BO24" s="272"/>
      <c r="BR24" s="273"/>
      <c r="BS24" s="272"/>
      <c r="BV24" s="273"/>
      <c r="BW24" s="272"/>
      <c r="BZ24" s="273"/>
      <c r="CA24" s="272"/>
      <c r="CD24" s="273"/>
      <c r="CE24" s="272"/>
      <c r="CH24" s="273"/>
      <c r="CI24" s="272"/>
      <c r="CL24" s="273"/>
      <c r="CM24" s="272"/>
      <c r="CP24" s="273"/>
      <c r="CQ24" s="296"/>
      <c r="CR24" s="298">
        <f>SUM(CR21:CR23)</f>
        <v>5246771.08</v>
      </c>
      <c r="CT24" s="273"/>
      <c r="CU24" s="296"/>
      <c r="CV24" s="298">
        <f>SUM(CV21:CV23)</f>
        <v>5246771.08</v>
      </c>
      <c r="CX24" s="273"/>
      <c r="CY24" s="296"/>
      <c r="CZ24" s="298">
        <f>SUM(CZ21:CZ23)</f>
        <v>5246771.08</v>
      </c>
      <c r="DB24" s="273"/>
      <c r="DC24" s="296"/>
      <c r="DD24" s="298">
        <f>SUM(DD21:DD23)</f>
        <v>5246771.08</v>
      </c>
      <c r="DF24" s="273"/>
      <c r="DG24" s="296"/>
      <c r="DH24" s="298">
        <f>SUM(DH21:DH23)</f>
        <v>5246771.08</v>
      </c>
      <c r="DJ24" s="273"/>
      <c r="DK24" s="296"/>
      <c r="DL24" s="298">
        <f>SUM(DL21:DL23)</f>
        <v>5246771.08</v>
      </c>
      <c r="DN24" s="273"/>
      <c r="DO24" s="296"/>
      <c r="DP24" s="298">
        <f>SUM(DP21:DP23)</f>
        <v>5246771.08</v>
      </c>
      <c r="DR24" s="273"/>
      <c r="DS24" s="296"/>
      <c r="DT24" s="298">
        <f>SUM(DT21:DT23)</f>
        <v>4619904.16</v>
      </c>
      <c r="DV24" s="273"/>
      <c r="DW24" s="296"/>
      <c r="DX24" s="298">
        <f>SUM(DX21:DX23)</f>
        <v>5246771.08</v>
      </c>
      <c r="DZ24" s="273"/>
      <c r="EA24" s="296"/>
      <c r="EB24" s="298">
        <f>SUM(EB21:EB23)</f>
        <v>5246771.08</v>
      </c>
      <c r="ED24" s="273"/>
      <c r="EE24" s="296"/>
      <c r="EF24" s="298">
        <f>SUM(EF21:EF23)</f>
        <v>5246771.08</v>
      </c>
      <c r="EH24" s="273"/>
      <c r="EI24" s="296"/>
      <c r="EJ24" s="298">
        <f>SUM(EJ21:EJ23)</f>
        <v>5246771.08</v>
      </c>
      <c r="EL24" s="273"/>
      <c r="EM24" s="296"/>
      <c r="EN24" s="298">
        <f>SUM(EN21:EN23)</f>
        <v>5246771.08</v>
      </c>
      <c r="EP24" s="273"/>
      <c r="EQ24" s="296"/>
      <c r="ER24" s="298">
        <f>SUM(ER21:ER23)</f>
        <v>5246771.08</v>
      </c>
      <c r="ET24" s="273"/>
      <c r="EU24" s="296"/>
      <c r="EV24" s="298">
        <f>SUM(EV21:EV23)</f>
        <v>5246771.08</v>
      </c>
      <c r="EX24" s="273"/>
      <c r="EY24" s="296"/>
      <c r="EZ24" s="298">
        <f>SUM(EZ21:EZ23)</f>
        <v>5246771.08</v>
      </c>
      <c r="FB24" s="273"/>
      <c r="FC24" s="296"/>
      <c r="FD24" s="298">
        <f>SUM(FD21:FD23)</f>
        <v>5246771.08</v>
      </c>
      <c r="FF24" s="273"/>
      <c r="FG24" s="296"/>
      <c r="FH24" s="298">
        <f>SUM(FH21:FH23)</f>
        <v>5246771.08</v>
      </c>
      <c r="FJ24" s="273"/>
      <c r="FK24" s="296"/>
      <c r="FL24" s="298">
        <f>SUM(FL21:FL23)</f>
        <v>5246771.08</v>
      </c>
      <c r="FN24" s="273"/>
      <c r="FO24" s="296"/>
      <c r="FP24" s="298">
        <f>SUM(FP21:FP23)</f>
        <v>0</v>
      </c>
      <c r="FR24" s="273"/>
    </row>
    <row r="25" spans="19:174" ht="13.5" thickTop="1">
      <c r="S25" s="272"/>
      <c r="V25" s="273"/>
      <c r="W25" s="272"/>
      <c r="Z25" s="273"/>
      <c r="AA25" s="272"/>
      <c r="AD25" s="273"/>
      <c r="AE25" s="272"/>
      <c r="AH25" s="273"/>
      <c r="AI25" s="272"/>
      <c r="AL25" s="273"/>
      <c r="AM25" s="272"/>
      <c r="AP25" s="273"/>
      <c r="AQ25" s="272"/>
      <c r="AT25" s="273"/>
      <c r="AU25" s="272"/>
      <c r="AX25" s="273"/>
      <c r="AY25" s="272"/>
      <c r="BB25" s="273"/>
      <c r="BC25" s="296"/>
      <c r="BD25" s="297"/>
      <c r="BF25" s="273"/>
      <c r="BG25" s="272"/>
      <c r="BJ25" s="273"/>
      <c r="BK25" s="272"/>
      <c r="BN25" s="273"/>
      <c r="BO25" s="272"/>
      <c r="BR25" s="273"/>
      <c r="BS25" s="272"/>
      <c r="BV25" s="273"/>
      <c r="BW25" s="272"/>
      <c r="BZ25" s="273"/>
      <c r="CA25" s="272"/>
      <c r="CD25" s="273"/>
      <c r="CE25" s="272"/>
      <c r="CH25" s="273"/>
      <c r="CI25" s="272"/>
      <c r="CL25" s="273"/>
      <c r="CM25" s="272"/>
      <c r="CP25" s="273"/>
      <c r="CQ25" s="272"/>
      <c r="CT25" s="273"/>
      <c r="CU25" s="272"/>
      <c r="CX25" s="273"/>
      <c r="CY25" s="272"/>
      <c r="DB25" s="273"/>
      <c r="DC25" s="272"/>
      <c r="DF25" s="273"/>
      <c r="DG25" s="272"/>
      <c r="DJ25" s="273"/>
      <c r="DK25" s="272"/>
      <c r="DN25" s="273"/>
      <c r="DO25" s="272"/>
      <c r="DR25" s="273"/>
      <c r="DS25" s="272"/>
      <c r="DV25" s="273"/>
      <c r="DW25" s="272"/>
      <c r="DZ25" s="273"/>
      <c r="EA25" s="272"/>
      <c r="ED25" s="273"/>
      <c r="EE25" s="272"/>
      <c r="EH25" s="273"/>
      <c r="EI25" s="272"/>
      <c r="EL25" s="273"/>
      <c r="EM25" s="272"/>
      <c r="EP25" s="273"/>
      <c r="EQ25" s="272"/>
      <c r="ET25" s="273"/>
      <c r="EU25" s="272"/>
      <c r="EX25" s="273"/>
      <c r="EY25" s="272"/>
      <c r="FB25" s="273"/>
      <c r="FC25" s="272"/>
      <c r="FF25" s="273"/>
      <c r="FG25" s="272"/>
      <c r="FJ25" s="273"/>
      <c r="FK25" s="272"/>
      <c r="FN25" s="273"/>
      <c r="FO25" s="272"/>
      <c r="FR25" s="273"/>
    </row>
    <row r="26" spans="19:174" ht="12.75">
      <c r="S26" s="277"/>
      <c r="T26" s="278"/>
      <c r="U26" s="278"/>
      <c r="V26" s="279"/>
      <c r="W26" s="277"/>
      <c r="X26" s="278"/>
      <c r="Y26" s="278"/>
      <c r="Z26" s="279"/>
      <c r="AA26" s="277"/>
      <c r="AB26" s="278"/>
      <c r="AC26" s="278"/>
      <c r="AD26" s="279"/>
      <c r="AE26" s="277"/>
      <c r="AF26" s="278"/>
      <c r="AG26" s="278"/>
      <c r="AH26" s="279"/>
      <c r="AI26" s="277"/>
      <c r="AJ26" s="278"/>
      <c r="AK26" s="278"/>
      <c r="AL26" s="279"/>
      <c r="AM26" s="277"/>
      <c r="AN26" s="278"/>
      <c r="AO26" s="278"/>
      <c r="AP26" s="279"/>
      <c r="AQ26" s="277"/>
      <c r="AR26" s="278"/>
      <c r="AS26" s="278"/>
      <c r="AT26" s="279"/>
      <c r="AU26" s="277"/>
      <c r="AV26" s="278"/>
      <c r="AW26" s="278"/>
      <c r="AX26" s="279"/>
      <c r="AY26" s="277"/>
      <c r="AZ26" s="278"/>
      <c r="BA26" s="278"/>
      <c r="BB26" s="279"/>
      <c r="BC26" s="277"/>
      <c r="BD26" s="278"/>
      <c r="BE26" s="278"/>
      <c r="BF26" s="279"/>
      <c r="BG26" s="277"/>
      <c r="BH26" s="278"/>
      <c r="BI26" s="278"/>
      <c r="BJ26" s="279"/>
      <c r="BK26" s="277"/>
      <c r="BL26" s="278"/>
      <c r="BM26" s="278"/>
      <c r="BN26" s="279"/>
      <c r="BO26" s="277"/>
      <c r="BP26" s="278"/>
      <c r="BQ26" s="278"/>
      <c r="BR26" s="279"/>
      <c r="BS26" s="277"/>
      <c r="BT26" s="278"/>
      <c r="BU26" s="278"/>
      <c r="BV26" s="279"/>
      <c r="BW26" s="277"/>
      <c r="BX26" s="278"/>
      <c r="BY26" s="278"/>
      <c r="BZ26" s="279"/>
      <c r="CA26" s="277"/>
      <c r="CB26" s="278"/>
      <c r="CC26" s="278"/>
      <c r="CD26" s="279"/>
      <c r="CE26" s="277"/>
      <c r="CF26" s="278"/>
      <c r="CG26" s="278"/>
      <c r="CH26" s="279"/>
      <c r="CI26" s="277"/>
      <c r="CJ26" s="278"/>
      <c r="CK26" s="278"/>
      <c r="CL26" s="279"/>
      <c r="CM26" s="277"/>
      <c r="CN26" s="278"/>
      <c r="CO26" s="278"/>
      <c r="CP26" s="279"/>
      <c r="CQ26" s="277"/>
      <c r="CR26" s="278"/>
      <c r="CS26" s="278"/>
      <c r="CT26" s="279"/>
      <c r="CU26" s="277"/>
      <c r="CV26" s="278"/>
      <c r="CW26" s="278"/>
      <c r="CX26" s="279"/>
      <c r="CY26" s="277"/>
      <c r="CZ26" s="278"/>
      <c r="DA26" s="278"/>
      <c r="DB26" s="279"/>
      <c r="DC26" s="277"/>
      <c r="DD26" s="278"/>
      <c r="DE26" s="278"/>
      <c r="DF26" s="279"/>
      <c r="DG26" s="277"/>
      <c r="DH26" s="278"/>
      <c r="DI26" s="278"/>
      <c r="DJ26" s="279"/>
      <c r="DK26" s="277"/>
      <c r="DL26" s="278"/>
      <c r="DM26" s="278"/>
      <c r="DN26" s="279"/>
      <c r="DO26" s="277"/>
      <c r="DP26" s="278"/>
      <c r="DQ26" s="278"/>
      <c r="DR26" s="279"/>
      <c r="DS26" s="277"/>
      <c r="DT26" s="278"/>
      <c r="DU26" s="278"/>
      <c r="DV26" s="279"/>
      <c r="DW26" s="277"/>
      <c r="DX26" s="278"/>
      <c r="DY26" s="278"/>
      <c r="DZ26" s="279"/>
      <c r="EA26" s="277"/>
      <c r="EB26" s="278"/>
      <c r="EC26" s="278"/>
      <c r="ED26" s="279"/>
      <c r="EE26" s="277"/>
      <c r="EF26" s="278"/>
      <c r="EG26" s="278"/>
      <c r="EH26" s="279"/>
      <c r="EI26" s="277"/>
      <c r="EJ26" s="278"/>
      <c r="EK26" s="278"/>
      <c r="EL26" s="279"/>
      <c r="EM26" s="277"/>
      <c r="EN26" s="278"/>
      <c r="EO26" s="278"/>
      <c r="EP26" s="279"/>
      <c r="EQ26" s="277"/>
      <c r="ER26" s="278"/>
      <c r="ES26" s="278"/>
      <c r="ET26" s="279"/>
      <c r="EU26" s="277"/>
      <c r="EV26" s="278"/>
      <c r="EW26" s="278"/>
      <c r="EX26" s="279"/>
      <c r="EY26" s="277"/>
      <c r="EZ26" s="278"/>
      <c r="FA26" s="278"/>
      <c r="FB26" s="279"/>
      <c r="FC26" s="277"/>
      <c r="FD26" s="278"/>
      <c r="FE26" s="278"/>
      <c r="FF26" s="279"/>
      <c r="FG26" s="277"/>
      <c r="FH26" s="278"/>
      <c r="FI26" s="278"/>
      <c r="FJ26" s="279"/>
      <c r="FK26" s="277"/>
      <c r="FL26" s="278"/>
      <c r="FM26" s="278"/>
      <c r="FN26" s="279"/>
      <c r="FO26" s="277"/>
      <c r="FP26" s="278"/>
      <c r="FQ26" s="278"/>
      <c r="FR26" s="279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U18"/>
  <sheetViews>
    <sheetView zoomScalePageLayoutView="0" workbookViewId="0" topLeftCell="A1">
      <pane xSplit="6" ySplit="4" topLeftCell="IM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T13" sqref="IT13"/>
    </sheetView>
  </sheetViews>
  <sheetFormatPr defaultColWidth="9.140625" defaultRowHeight="12.75"/>
  <cols>
    <col min="1" max="1" width="41.140625" style="173" customWidth="1"/>
    <col min="2" max="2" width="6.00390625" style="173" customWidth="1"/>
    <col min="3" max="3" width="15.00390625" style="173" hidden="1" customWidth="1"/>
    <col min="4" max="5" width="12.7109375" style="173" hidden="1" customWidth="1"/>
    <col min="6" max="6" width="13.7109375" style="173" hidden="1" customWidth="1"/>
    <col min="7" max="7" width="15.140625" style="173" hidden="1" customWidth="1"/>
    <col min="8" max="8" width="12.8515625" style="173" hidden="1" customWidth="1"/>
    <col min="9" max="9" width="12.7109375" style="173" hidden="1" customWidth="1"/>
    <col min="10" max="10" width="13.8515625" style="173" hidden="1" customWidth="1"/>
    <col min="11" max="11" width="12.421875" style="173" hidden="1" customWidth="1"/>
    <col min="12" max="12" width="12.8515625" style="173" hidden="1" customWidth="1"/>
    <col min="13" max="13" width="12.7109375" style="173" hidden="1" customWidth="1"/>
    <col min="14" max="14" width="13.8515625" style="173" hidden="1" customWidth="1"/>
    <col min="15" max="15" width="12.421875" style="173" hidden="1" customWidth="1"/>
    <col min="16" max="16" width="12.8515625" style="173" hidden="1" customWidth="1"/>
    <col min="17" max="17" width="12.7109375" style="173" hidden="1" customWidth="1"/>
    <col min="18" max="18" width="13.8515625" style="173" hidden="1" customWidth="1"/>
    <col min="19" max="19" width="12.421875" style="173" hidden="1" customWidth="1"/>
    <col min="20" max="20" width="12.8515625" style="173" hidden="1" customWidth="1"/>
    <col min="21" max="21" width="12.7109375" style="173" hidden="1" customWidth="1"/>
    <col min="22" max="22" width="13.8515625" style="173" hidden="1" customWidth="1"/>
    <col min="23" max="23" width="12.421875" style="173" hidden="1" customWidth="1"/>
    <col min="24" max="24" width="12.8515625" style="173" hidden="1" customWidth="1"/>
    <col min="25" max="25" width="12.7109375" style="173" hidden="1" customWidth="1"/>
    <col min="26" max="26" width="13.8515625" style="173" hidden="1" customWidth="1"/>
    <col min="27" max="27" width="12.421875" style="173" hidden="1" customWidth="1"/>
    <col min="28" max="28" width="12.8515625" style="173" hidden="1" customWidth="1"/>
    <col min="29" max="29" width="12.7109375" style="173" hidden="1" customWidth="1"/>
    <col min="30" max="30" width="13.8515625" style="173" hidden="1" customWidth="1"/>
    <col min="31" max="31" width="12.421875" style="173" hidden="1" customWidth="1"/>
    <col min="32" max="32" width="12.8515625" style="173" hidden="1" customWidth="1"/>
    <col min="33" max="33" width="12.7109375" style="173" hidden="1" customWidth="1"/>
    <col min="34" max="34" width="13.8515625" style="173" hidden="1" customWidth="1"/>
    <col min="35" max="35" width="12.421875" style="173" hidden="1" customWidth="1"/>
    <col min="36" max="36" width="12.8515625" style="173" hidden="1" customWidth="1"/>
    <col min="37" max="37" width="12.7109375" style="173" hidden="1" customWidth="1"/>
    <col min="38" max="38" width="13.8515625" style="173" hidden="1" customWidth="1"/>
    <col min="39" max="39" width="12.421875" style="173" hidden="1" customWidth="1"/>
    <col min="40" max="40" width="12.8515625" style="173" hidden="1" customWidth="1"/>
    <col min="41" max="41" width="12.7109375" style="173" hidden="1" customWidth="1"/>
    <col min="42" max="42" width="13.8515625" style="173" hidden="1" customWidth="1"/>
    <col min="43" max="43" width="12.421875" style="173" hidden="1" customWidth="1"/>
    <col min="44" max="44" width="12.8515625" style="173" hidden="1" customWidth="1"/>
    <col min="45" max="45" width="12.7109375" style="173" hidden="1" customWidth="1"/>
    <col min="46" max="46" width="13.8515625" style="173" hidden="1" customWidth="1"/>
    <col min="47" max="47" width="12.421875" style="173" hidden="1" customWidth="1"/>
    <col min="48" max="48" width="12.8515625" style="173" hidden="1" customWidth="1"/>
    <col min="49" max="49" width="12.7109375" style="173" hidden="1" customWidth="1"/>
    <col min="50" max="50" width="13.8515625" style="173" hidden="1" customWidth="1"/>
    <col min="51" max="51" width="12.421875" style="173" hidden="1" customWidth="1"/>
    <col min="52" max="52" width="12.8515625" style="173" hidden="1" customWidth="1"/>
    <col min="53" max="53" width="12.7109375" style="173" hidden="1" customWidth="1"/>
    <col min="54" max="54" width="13.8515625" style="173" hidden="1" customWidth="1"/>
    <col min="55" max="55" width="12.421875" style="173" hidden="1" customWidth="1"/>
    <col min="56" max="56" width="12.8515625" style="173" hidden="1" customWidth="1"/>
    <col min="57" max="57" width="12.7109375" style="173" hidden="1" customWidth="1"/>
    <col min="58" max="58" width="13.8515625" style="173" hidden="1" customWidth="1"/>
    <col min="59" max="59" width="12.421875" style="173" hidden="1" customWidth="1"/>
    <col min="60" max="60" width="12.8515625" style="173" hidden="1" customWidth="1"/>
    <col min="61" max="61" width="12.7109375" style="173" hidden="1" customWidth="1"/>
    <col min="62" max="62" width="13.8515625" style="173" hidden="1" customWidth="1"/>
    <col min="63" max="63" width="12.421875" style="173" hidden="1" customWidth="1"/>
    <col min="64" max="64" width="12.8515625" style="173" hidden="1" customWidth="1"/>
    <col min="65" max="65" width="12.7109375" style="173" hidden="1" customWidth="1"/>
    <col min="66" max="66" width="13.8515625" style="173" hidden="1" customWidth="1"/>
    <col min="67" max="67" width="12.421875" style="173" hidden="1" customWidth="1"/>
    <col min="68" max="68" width="12.8515625" style="173" hidden="1" customWidth="1"/>
    <col min="69" max="69" width="12.7109375" style="173" hidden="1" customWidth="1"/>
    <col min="70" max="70" width="13.8515625" style="173" hidden="1" customWidth="1"/>
    <col min="71" max="71" width="12.421875" style="173" hidden="1" customWidth="1"/>
    <col min="72" max="72" width="12.8515625" style="173" hidden="1" customWidth="1"/>
    <col min="73" max="73" width="12.7109375" style="173" hidden="1" customWidth="1"/>
    <col min="74" max="74" width="13.8515625" style="173" hidden="1" customWidth="1"/>
    <col min="75" max="75" width="12.421875" style="173" hidden="1" customWidth="1"/>
    <col min="76" max="76" width="12.8515625" style="173" hidden="1" customWidth="1"/>
    <col min="77" max="77" width="12.7109375" style="173" hidden="1" customWidth="1"/>
    <col min="78" max="78" width="13.8515625" style="173" hidden="1" customWidth="1"/>
    <col min="79" max="79" width="12.421875" style="173" hidden="1" customWidth="1"/>
    <col min="80" max="80" width="12.8515625" style="173" hidden="1" customWidth="1"/>
    <col min="81" max="81" width="12.7109375" style="173" hidden="1" customWidth="1"/>
    <col min="82" max="82" width="13.8515625" style="173" hidden="1" customWidth="1"/>
    <col min="83" max="83" width="12.421875" style="173" hidden="1" customWidth="1"/>
    <col min="84" max="84" width="12.8515625" style="173" hidden="1" customWidth="1"/>
    <col min="85" max="85" width="12.7109375" style="173" hidden="1" customWidth="1"/>
    <col min="86" max="86" width="13.8515625" style="173" hidden="1" customWidth="1"/>
    <col min="87" max="87" width="12.421875" style="173" hidden="1" customWidth="1"/>
    <col min="88" max="88" width="12.8515625" style="173" hidden="1" customWidth="1"/>
    <col min="89" max="89" width="12.7109375" style="173" hidden="1" customWidth="1"/>
    <col min="90" max="90" width="13.8515625" style="173" hidden="1" customWidth="1"/>
    <col min="91" max="91" width="12.421875" style="173" hidden="1" customWidth="1"/>
    <col min="92" max="92" width="12.8515625" style="173" hidden="1" customWidth="1"/>
    <col min="93" max="93" width="12.7109375" style="173" hidden="1" customWidth="1"/>
    <col min="94" max="94" width="13.8515625" style="173" hidden="1" customWidth="1"/>
    <col min="95" max="95" width="12.421875" style="173" hidden="1" customWidth="1"/>
    <col min="96" max="96" width="12.8515625" style="173" hidden="1" customWidth="1"/>
    <col min="97" max="97" width="12.7109375" style="173" hidden="1" customWidth="1"/>
    <col min="98" max="98" width="13.8515625" style="173" hidden="1" customWidth="1"/>
    <col min="99" max="99" width="12.421875" style="173" hidden="1" customWidth="1"/>
    <col min="100" max="100" width="12.8515625" style="173" hidden="1" customWidth="1"/>
    <col min="101" max="101" width="12.7109375" style="173" hidden="1" customWidth="1"/>
    <col min="102" max="102" width="13.8515625" style="173" hidden="1" customWidth="1"/>
    <col min="103" max="103" width="12.421875" style="173" hidden="1" customWidth="1"/>
    <col min="104" max="104" width="12.8515625" style="173" hidden="1" customWidth="1"/>
    <col min="105" max="105" width="12.7109375" style="173" hidden="1" customWidth="1"/>
    <col min="106" max="106" width="13.8515625" style="173" hidden="1" customWidth="1"/>
    <col min="107" max="107" width="12.421875" style="173" hidden="1" customWidth="1"/>
    <col min="108" max="108" width="12.8515625" style="173" hidden="1" customWidth="1"/>
    <col min="109" max="109" width="12.7109375" style="173" hidden="1" customWidth="1"/>
    <col min="110" max="110" width="13.8515625" style="173" hidden="1" customWidth="1"/>
    <col min="111" max="111" width="12.421875" style="173" hidden="1" customWidth="1"/>
    <col min="112" max="112" width="12.8515625" style="173" hidden="1" customWidth="1"/>
    <col min="113" max="113" width="12.7109375" style="173" hidden="1" customWidth="1"/>
    <col min="114" max="114" width="13.8515625" style="173" hidden="1" customWidth="1"/>
    <col min="115" max="115" width="12.421875" style="173" hidden="1" customWidth="1"/>
    <col min="116" max="116" width="12.8515625" style="173" hidden="1" customWidth="1"/>
    <col min="117" max="117" width="12.7109375" style="173" hidden="1" customWidth="1"/>
    <col min="118" max="118" width="13.8515625" style="173" hidden="1" customWidth="1"/>
    <col min="119" max="119" width="12.421875" style="173" hidden="1" customWidth="1"/>
    <col min="120" max="120" width="12.8515625" style="173" hidden="1" customWidth="1"/>
    <col min="121" max="121" width="12.7109375" style="173" hidden="1" customWidth="1"/>
    <col min="122" max="122" width="13.8515625" style="173" hidden="1" customWidth="1"/>
    <col min="123" max="123" width="12.421875" style="173" hidden="1" customWidth="1"/>
    <col min="124" max="124" width="12.8515625" style="173" hidden="1" customWidth="1"/>
    <col min="125" max="125" width="12.7109375" style="173" hidden="1" customWidth="1"/>
    <col min="126" max="126" width="13.8515625" style="173" hidden="1" customWidth="1"/>
    <col min="127" max="127" width="12.421875" style="173" hidden="1" customWidth="1"/>
    <col min="128" max="128" width="12.8515625" style="173" hidden="1" customWidth="1"/>
    <col min="129" max="129" width="12.7109375" style="173" hidden="1" customWidth="1"/>
    <col min="130" max="130" width="13.8515625" style="173" hidden="1" customWidth="1"/>
    <col min="131" max="131" width="12.421875" style="173" hidden="1" customWidth="1"/>
    <col min="132" max="132" width="12.8515625" style="173" hidden="1" customWidth="1"/>
    <col min="133" max="133" width="12.7109375" style="173" hidden="1" customWidth="1"/>
    <col min="134" max="134" width="13.8515625" style="173" hidden="1" customWidth="1"/>
    <col min="135" max="135" width="12.421875" style="173" hidden="1" customWidth="1"/>
    <col min="136" max="136" width="12.8515625" style="173" hidden="1" customWidth="1"/>
    <col min="137" max="137" width="12.7109375" style="173" hidden="1" customWidth="1"/>
    <col min="138" max="138" width="13.8515625" style="173" hidden="1" customWidth="1"/>
    <col min="139" max="139" width="12.421875" style="173" hidden="1" customWidth="1"/>
    <col min="140" max="140" width="12.8515625" style="173" hidden="1" customWidth="1"/>
    <col min="141" max="141" width="12.7109375" style="173" hidden="1" customWidth="1"/>
    <col min="142" max="142" width="13.8515625" style="173" hidden="1" customWidth="1"/>
    <col min="143" max="143" width="12.421875" style="173" hidden="1" customWidth="1"/>
    <col min="144" max="144" width="12.8515625" style="173" hidden="1" customWidth="1"/>
    <col min="145" max="145" width="12.7109375" style="173" hidden="1" customWidth="1"/>
    <col min="146" max="146" width="13.8515625" style="173" hidden="1" customWidth="1"/>
    <col min="147" max="147" width="12.421875" style="173" hidden="1" customWidth="1"/>
    <col min="148" max="148" width="12.8515625" style="173" hidden="1" customWidth="1"/>
    <col min="149" max="149" width="12.7109375" style="173" hidden="1" customWidth="1"/>
    <col min="150" max="150" width="13.8515625" style="173" hidden="1" customWidth="1"/>
    <col min="151" max="151" width="12.421875" style="173" hidden="1" customWidth="1"/>
    <col min="152" max="152" width="12.8515625" style="173" hidden="1" customWidth="1"/>
    <col min="153" max="153" width="12.7109375" style="173" hidden="1" customWidth="1"/>
    <col min="154" max="154" width="13.8515625" style="173" hidden="1" customWidth="1"/>
    <col min="155" max="155" width="12.421875" style="173" hidden="1" customWidth="1"/>
    <col min="156" max="156" width="12.8515625" style="173" hidden="1" customWidth="1"/>
    <col min="157" max="157" width="12.7109375" style="173" hidden="1" customWidth="1"/>
    <col min="158" max="158" width="13.8515625" style="173" hidden="1" customWidth="1"/>
    <col min="159" max="159" width="12.421875" style="173" hidden="1" customWidth="1"/>
    <col min="160" max="160" width="12.8515625" style="173" hidden="1" customWidth="1"/>
    <col min="161" max="161" width="12.7109375" style="173" hidden="1" customWidth="1"/>
    <col min="162" max="162" width="13.8515625" style="173" hidden="1" customWidth="1"/>
    <col min="163" max="163" width="12.421875" style="173" hidden="1" customWidth="1"/>
    <col min="164" max="164" width="12.8515625" style="173" hidden="1" customWidth="1"/>
    <col min="165" max="165" width="12.7109375" style="173" hidden="1" customWidth="1"/>
    <col min="166" max="166" width="13.8515625" style="173" hidden="1" customWidth="1"/>
    <col min="167" max="167" width="12.421875" style="173" hidden="1" customWidth="1"/>
    <col min="168" max="168" width="12.8515625" style="173" hidden="1" customWidth="1"/>
    <col min="169" max="169" width="12.7109375" style="173" hidden="1" customWidth="1"/>
    <col min="170" max="170" width="13.8515625" style="173" hidden="1" customWidth="1"/>
    <col min="171" max="171" width="12.421875" style="173" hidden="1" customWidth="1"/>
    <col min="172" max="172" width="12.8515625" style="173" hidden="1" customWidth="1"/>
    <col min="173" max="173" width="12.7109375" style="173" hidden="1" customWidth="1"/>
    <col min="174" max="174" width="13.8515625" style="173" hidden="1" customWidth="1"/>
    <col min="175" max="175" width="12.421875" style="173" hidden="1" customWidth="1"/>
    <col min="176" max="176" width="12.8515625" style="173" hidden="1" customWidth="1"/>
    <col min="177" max="177" width="12.7109375" style="173" hidden="1" customWidth="1"/>
    <col min="178" max="178" width="13.8515625" style="173" hidden="1" customWidth="1"/>
    <col min="179" max="179" width="12.421875" style="173" hidden="1" customWidth="1"/>
    <col min="180" max="180" width="12.8515625" style="173" hidden="1" customWidth="1"/>
    <col min="181" max="181" width="12.7109375" style="173" hidden="1" customWidth="1"/>
    <col min="182" max="182" width="13.8515625" style="173" hidden="1" customWidth="1"/>
    <col min="183" max="183" width="12.421875" style="173" hidden="1" customWidth="1"/>
    <col min="184" max="184" width="12.8515625" style="173" hidden="1" customWidth="1"/>
    <col min="185" max="185" width="12.7109375" style="173" hidden="1" customWidth="1"/>
    <col min="186" max="186" width="13.8515625" style="173" hidden="1" customWidth="1"/>
    <col min="187" max="187" width="12.421875" style="173" hidden="1" customWidth="1"/>
    <col min="188" max="188" width="12.8515625" style="173" hidden="1" customWidth="1"/>
    <col min="189" max="189" width="12.7109375" style="173" hidden="1" customWidth="1"/>
    <col min="190" max="190" width="13.8515625" style="173" hidden="1" customWidth="1"/>
    <col min="191" max="191" width="12.421875" style="173" hidden="1" customWidth="1"/>
    <col min="192" max="192" width="12.8515625" style="173" bestFit="1" customWidth="1"/>
    <col min="193" max="193" width="12.7109375" style="173" customWidth="1"/>
    <col min="194" max="194" width="13.8515625" style="173" bestFit="1" customWidth="1"/>
    <col min="195" max="195" width="12.421875" style="173" bestFit="1" customWidth="1"/>
    <col min="196" max="196" width="12.8515625" style="173" bestFit="1" customWidth="1"/>
    <col min="197" max="197" width="12.7109375" style="173" customWidth="1"/>
    <col min="198" max="198" width="13.8515625" style="173" bestFit="1" customWidth="1"/>
    <col min="199" max="199" width="12.421875" style="173" bestFit="1" customWidth="1"/>
    <col min="200" max="200" width="12.8515625" style="173" bestFit="1" customWidth="1"/>
    <col min="201" max="201" width="12.7109375" style="173" customWidth="1"/>
    <col min="202" max="202" width="13.8515625" style="173" bestFit="1" customWidth="1"/>
    <col min="203" max="203" width="12.421875" style="173" bestFit="1" customWidth="1"/>
    <col min="204" max="204" width="12.8515625" style="173" bestFit="1" customWidth="1"/>
    <col min="205" max="205" width="12.7109375" style="173" customWidth="1"/>
    <col min="206" max="206" width="13.8515625" style="173" bestFit="1" customWidth="1"/>
    <col min="207" max="207" width="12.421875" style="173" bestFit="1" customWidth="1"/>
    <col min="208" max="208" width="12.8515625" style="173" bestFit="1" customWidth="1"/>
    <col min="209" max="209" width="12.7109375" style="173" customWidth="1"/>
    <col min="210" max="210" width="13.8515625" style="173" bestFit="1" customWidth="1"/>
    <col min="211" max="211" width="12.421875" style="173" bestFit="1" customWidth="1"/>
    <col min="212" max="212" width="12.8515625" style="173" bestFit="1" customWidth="1"/>
    <col min="213" max="213" width="12.7109375" style="173" customWidth="1"/>
    <col min="214" max="214" width="13.8515625" style="173" bestFit="1" customWidth="1"/>
    <col min="215" max="215" width="12.421875" style="173" bestFit="1" customWidth="1"/>
    <col min="216" max="216" width="12.8515625" style="173" bestFit="1" customWidth="1"/>
    <col min="217" max="217" width="12.7109375" style="173" customWidth="1"/>
    <col min="218" max="218" width="13.8515625" style="173" bestFit="1" customWidth="1"/>
    <col min="219" max="219" width="12.421875" style="173" bestFit="1" customWidth="1"/>
    <col min="220" max="220" width="12.8515625" style="173" bestFit="1" customWidth="1"/>
    <col min="221" max="221" width="12.7109375" style="173" customWidth="1"/>
    <col min="222" max="222" width="13.8515625" style="173" bestFit="1" customWidth="1"/>
    <col min="223" max="223" width="12.421875" style="173" bestFit="1" customWidth="1"/>
    <col min="224" max="224" width="12.8515625" style="173" bestFit="1" customWidth="1"/>
    <col min="225" max="225" width="12.7109375" style="173" customWidth="1"/>
    <col min="226" max="226" width="13.8515625" style="173" bestFit="1" customWidth="1"/>
    <col min="227" max="227" width="12.421875" style="173" bestFit="1" customWidth="1"/>
    <col min="228" max="228" width="12.8515625" style="173" bestFit="1" customWidth="1"/>
    <col min="229" max="229" width="12.7109375" style="173" customWidth="1"/>
    <col min="230" max="230" width="13.8515625" style="173" bestFit="1" customWidth="1"/>
    <col min="231" max="231" width="12.421875" style="173" bestFit="1" customWidth="1"/>
    <col min="232" max="232" width="12.8515625" style="173" bestFit="1" customWidth="1"/>
    <col min="233" max="233" width="12.7109375" style="173" customWidth="1"/>
    <col min="234" max="234" width="13.8515625" style="173" bestFit="1" customWidth="1"/>
    <col min="235" max="235" width="12.421875" style="173" bestFit="1" customWidth="1"/>
    <col min="236" max="236" width="12.8515625" style="173" bestFit="1" customWidth="1"/>
    <col min="237" max="237" width="12.7109375" style="173" customWidth="1"/>
    <col min="238" max="238" width="13.8515625" style="173" bestFit="1" customWidth="1"/>
    <col min="239" max="239" width="12.421875" style="173" bestFit="1" customWidth="1"/>
    <col min="240" max="240" width="12.8515625" style="173" bestFit="1" customWidth="1"/>
    <col min="241" max="241" width="12.7109375" style="173" customWidth="1"/>
    <col min="242" max="242" width="13.8515625" style="173" bestFit="1" customWidth="1"/>
    <col min="243" max="243" width="12.421875" style="173" bestFit="1" customWidth="1"/>
    <col min="244" max="244" width="12.8515625" style="173" bestFit="1" customWidth="1"/>
    <col min="245" max="245" width="12.7109375" style="173" customWidth="1"/>
    <col min="246" max="246" width="13.8515625" style="173" bestFit="1" customWidth="1"/>
    <col min="247" max="247" width="12.421875" style="173" bestFit="1" customWidth="1"/>
    <col min="248" max="248" width="12.8515625" style="173" bestFit="1" customWidth="1"/>
    <col min="249" max="249" width="12.7109375" style="173" customWidth="1"/>
    <col min="250" max="250" width="13.8515625" style="173" bestFit="1" customWidth="1"/>
    <col min="251" max="251" width="12.421875" style="173" bestFit="1" customWidth="1"/>
    <col min="252" max="252" width="12.8515625" style="173" bestFit="1" customWidth="1"/>
    <col min="253" max="253" width="12.7109375" style="173" customWidth="1"/>
    <col min="254" max="254" width="13.8515625" style="173" bestFit="1" customWidth="1"/>
    <col min="255" max="255" width="12.421875" style="173" bestFit="1" customWidth="1"/>
    <col min="256" max="16384" width="9.140625" style="173" customWidth="1"/>
  </cols>
  <sheetData>
    <row r="1" ht="12"/>
    <row r="2" ht="12"/>
    <row r="3" spans="3:255" ht="12">
      <c r="C3" s="174" t="s">
        <v>4</v>
      </c>
      <c r="D3" s="175" t="s">
        <v>44</v>
      </c>
      <c r="E3" s="175" t="s">
        <v>215</v>
      </c>
      <c r="F3" s="175" t="s">
        <v>82</v>
      </c>
      <c r="G3" s="174" t="s">
        <v>4</v>
      </c>
      <c r="H3" s="175" t="s">
        <v>44</v>
      </c>
      <c r="I3" s="175" t="s">
        <v>215</v>
      </c>
      <c r="J3" s="175" t="s">
        <v>82</v>
      </c>
      <c r="K3" s="174" t="s">
        <v>4</v>
      </c>
      <c r="L3" s="175" t="s">
        <v>44</v>
      </c>
      <c r="M3" s="175" t="s">
        <v>215</v>
      </c>
      <c r="N3" s="175" t="s">
        <v>82</v>
      </c>
      <c r="O3" s="174" t="s">
        <v>4</v>
      </c>
      <c r="P3" s="175" t="s">
        <v>44</v>
      </c>
      <c r="Q3" s="175" t="s">
        <v>215</v>
      </c>
      <c r="R3" s="175" t="s">
        <v>82</v>
      </c>
      <c r="S3" s="174" t="s">
        <v>4</v>
      </c>
      <c r="T3" s="175" t="s">
        <v>44</v>
      </c>
      <c r="U3" s="175" t="s">
        <v>215</v>
      </c>
      <c r="V3" s="175" t="s">
        <v>82</v>
      </c>
      <c r="W3" s="174" t="s">
        <v>4</v>
      </c>
      <c r="X3" s="175" t="s">
        <v>44</v>
      </c>
      <c r="Y3" s="175" t="s">
        <v>215</v>
      </c>
      <c r="Z3" s="175" t="s">
        <v>82</v>
      </c>
      <c r="AA3" s="174" t="s">
        <v>4</v>
      </c>
      <c r="AB3" s="175" t="s">
        <v>44</v>
      </c>
      <c r="AC3" s="175" t="s">
        <v>215</v>
      </c>
      <c r="AD3" s="175" t="s">
        <v>82</v>
      </c>
      <c r="AE3" s="174" t="s">
        <v>4</v>
      </c>
      <c r="AF3" s="175" t="s">
        <v>44</v>
      </c>
      <c r="AG3" s="175" t="s">
        <v>215</v>
      </c>
      <c r="AH3" s="175" t="s">
        <v>82</v>
      </c>
      <c r="AI3" s="174" t="s">
        <v>4</v>
      </c>
      <c r="AJ3" s="175" t="s">
        <v>44</v>
      </c>
      <c r="AK3" s="175" t="s">
        <v>215</v>
      </c>
      <c r="AL3" s="175" t="s">
        <v>82</v>
      </c>
      <c r="AM3" s="174" t="s">
        <v>4</v>
      </c>
      <c r="AN3" s="175" t="s">
        <v>44</v>
      </c>
      <c r="AO3" s="175" t="s">
        <v>215</v>
      </c>
      <c r="AP3" s="175" t="s">
        <v>82</v>
      </c>
      <c r="AQ3" s="174" t="s">
        <v>4</v>
      </c>
      <c r="AR3" s="175" t="s">
        <v>44</v>
      </c>
      <c r="AS3" s="175" t="s">
        <v>215</v>
      </c>
      <c r="AT3" s="175" t="s">
        <v>82</v>
      </c>
      <c r="AU3" s="174" t="s">
        <v>4</v>
      </c>
      <c r="AV3" s="175" t="s">
        <v>44</v>
      </c>
      <c r="AW3" s="175" t="s">
        <v>215</v>
      </c>
      <c r="AX3" s="175" t="s">
        <v>82</v>
      </c>
      <c r="AY3" s="174" t="s">
        <v>4</v>
      </c>
      <c r="AZ3" s="175" t="s">
        <v>44</v>
      </c>
      <c r="BA3" s="175" t="s">
        <v>215</v>
      </c>
      <c r="BB3" s="175" t="s">
        <v>82</v>
      </c>
      <c r="BC3" s="174" t="s">
        <v>4</v>
      </c>
      <c r="BD3" s="175" t="s">
        <v>44</v>
      </c>
      <c r="BE3" s="175" t="s">
        <v>215</v>
      </c>
      <c r="BF3" s="175" t="s">
        <v>82</v>
      </c>
      <c r="BG3" s="217" t="s">
        <v>4</v>
      </c>
      <c r="BH3" s="175" t="s">
        <v>44</v>
      </c>
      <c r="BI3" s="175" t="s">
        <v>215</v>
      </c>
      <c r="BJ3" s="175" t="s">
        <v>82</v>
      </c>
      <c r="BK3" s="217" t="s">
        <v>4</v>
      </c>
      <c r="BL3" s="175" t="s">
        <v>44</v>
      </c>
      <c r="BM3" s="175" t="s">
        <v>215</v>
      </c>
      <c r="BN3" s="175" t="s">
        <v>82</v>
      </c>
      <c r="BO3" s="217" t="s">
        <v>4</v>
      </c>
      <c r="BP3" s="175" t="s">
        <v>44</v>
      </c>
      <c r="BQ3" s="175" t="s">
        <v>215</v>
      </c>
      <c r="BR3" s="175" t="s">
        <v>82</v>
      </c>
      <c r="BS3" s="217" t="s">
        <v>4</v>
      </c>
      <c r="BT3" s="175" t="s">
        <v>44</v>
      </c>
      <c r="BU3" s="175" t="s">
        <v>215</v>
      </c>
      <c r="BV3" s="175" t="s">
        <v>82</v>
      </c>
      <c r="BW3" s="217" t="s">
        <v>4</v>
      </c>
      <c r="BX3" s="175" t="s">
        <v>44</v>
      </c>
      <c r="BY3" s="175" t="s">
        <v>215</v>
      </c>
      <c r="BZ3" s="175" t="s">
        <v>82</v>
      </c>
      <c r="CA3" s="217" t="s">
        <v>4</v>
      </c>
      <c r="CB3" s="175" t="s">
        <v>44</v>
      </c>
      <c r="CC3" s="175" t="s">
        <v>215</v>
      </c>
      <c r="CD3" s="175" t="s">
        <v>82</v>
      </c>
      <c r="CE3" s="217" t="s">
        <v>4</v>
      </c>
      <c r="CF3" s="175" t="s">
        <v>44</v>
      </c>
      <c r="CG3" s="175" t="s">
        <v>215</v>
      </c>
      <c r="CH3" s="175" t="s">
        <v>82</v>
      </c>
      <c r="CI3" s="217" t="s">
        <v>4</v>
      </c>
      <c r="CJ3" s="175" t="s">
        <v>44</v>
      </c>
      <c r="CK3" s="175" t="s">
        <v>215</v>
      </c>
      <c r="CL3" s="175" t="s">
        <v>82</v>
      </c>
      <c r="CM3" s="217" t="s">
        <v>4</v>
      </c>
      <c r="CN3" s="175" t="s">
        <v>44</v>
      </c>
      <c r="CO3" s="175" t="s">
        <v>215</v>
      </c>
      <c r="CP3" s="175" t="s">
        <v>82</v>
      </c>
      <c r="CQ3" s="217" t="s">
        <v>4</v>
      </c>
      <c r="CR3" s="175" t="s">
        <v>44</v>
      </c>
      <c r="CS3" s="175" t="s">
        <v>215</v>
      </c>
      <c r="CT3" s="175" t="s">
        <v>82</v>
      </c>
      <c r="CU3" s="217" t="s">
        <v>4</v>
      </c>
      <c r="CV3" s="175" t="s">
        <v>44</v>
      </c>
      <c r="CW3" s="175" t="s">
        <v>215</v>
      </c>
      <c r="CX3" s="175" t="s">
        <v>82</v>
      </c>
      <c r="CY3" s="217" t="s">
        <v>4</v>
      </c>
      <c r="CZ3" s="175" t="s">
        <v>44</v>
      </c>
      <c r="DA3" s="175" t="s">
        <v>215</v>
      </c>
      <c r="DB3" s="175" t="s">
        <v>82</v>
      </c>
      <c r="DC3" s="217" t="s">
        <v>4</v>
      </c>
      <c r="DD3" s="175" t="s">
        <v>44</v>
      </c>
      <c r="DE3" s="175" t="s">
        <v>215</v>
      </c>
      <c r="DF3" s="175" t="s">
        <v>82</v>
      </c>
      <c r="DG3" s="217" t="s">
        <v>4</v>
      </c>
      <c r="DH3" s="175" t="s">
        <v>44</v>
      </c>
      <c r="DI3" s="175" t="s">
        <v>215</v>
      </c>
      <c r="DJ3" s="175" t="s">
        <v>82</v>
      </c>
      <c r="DK3" s="217" t="s">
        <v>4</v>
      </c>
      <c r="DL3" s="175" t="s">
        <v>44</v>
      </c>
      <c r="DM3" s="175" t="s">
        <v>215</v>
      </c>
      <c r="DN3" s="175" t="s">
        <v>82</v>
      </c>
      <c r="DO3" s="217" t="s">
        <v>4</v>
      </c>
      <c r="DP3" s="175" t="s">
        <v>44</v>
      </c>
      <c r="DQ3" s="175" t="s">
        <v>215</v>
      </c>
      <c r="DR3" s="175" t="s">
        <v>82</v>
      </c>
      <c r="DS3" s="217" t="s">
        <v>4</v>
      </c>
      <c r="DT3" s="175" t="s">
        <v>44</v>
      </c>
      <c r="DU3" s="175" t="s">
        <v>215</v>
      </c>
      <c r="DV3" s="175" t="s">
        <v>82</v>
      </c>
      <c r="DW3" s="217" t="s">
        <v>4</v>
      </c>
      <c r="DX3" s="175" t="s">
        <v>44</v>
      </c>
      <c r="DY3" s="175" t="s">
        <v>215</v>
      </c>
      <c r="DZ3" s="175" t="s">
        <v>82</v>
      </c>
      <c r="EA3" s="217" t="s">
        <v>4</v>
      </c>
      <c r="EB3" s="175" t="s">
        <v>44</v>
      </c>
      <c r="EC3" s="175" t="s">
        <v>215</v>
      </c>
      <c r="ED3" s="175" t="s">
        <v>82</v>
      </c>
      <c r="EE3" s="217" t="s">
        <v>4</v>
      </c>
      <c r="EF3" s="175" t="s">
        <v>44</v>
      </c>
      <c r="EG3" s="175" t="s">
        <v>215</v>
      </c>
      <c r="EH3" s="175" t="s">
        <v>82</v>
      </c>
      <c r="EI3" s="217" t="s">
        <v>4</v>
      </c>
      <c r="EJ3" s="175" t="s">
        <v>44</v>
      </c>
      <c r="EK3" s="175" t="s">
        <v>215</v>
      </c>
      <c r="EL3" s="175" t="s">
        <v>82</v>
      </c>
      <c r="EM3" s="217" t="s">
        <v>4</v>
      </c>
      <c r="EN3" s="175" t="s">
        <v>44</v>
      </c>
      <c r="EO3" s="175" t="s">
        <v>215</v>
      </c>
      <c r="EP3" s="175" t="s">
        <v>82</v>
      </c>
      <c r="EQ3" s="217" t="s">
        <v>4</v>
      </c>
      <c r="ER3" s="175" t="s">
        <v>44</v>
      </c>
      <c r="ES3" s="175" t="s">
        <v>215</v>
      </c>
      <c r="ET3" s="175" t="s">
        <v>82</v>
      </c>
      <c r="EU3" s="217" t="s">
        <v>4</v>
      </c>
      <c r="EV3" s="175" t="s">
        <v>44</v>
      </c>
      <c r="EW3" s="175" t="s">
        <v>215</v>
      </c>
      <c r="EX3" s="175" t="s">
        <v>82</v>
      </c>
      <c r="EY3" s="217" t="s">
        <v>4</v>
      </c>
      <c r="EZ3" s="175" t="s">
        <v>44</v>
      </c>
      <c r="FA3" s="175" t="s">
        <v>215</v>
      </c>
      <c r="FB3" s="175" t="s">
        <v>82</v>
      </c>
      <c r="FC3" s="217" t="s">
        <v>4</v>
      </c>
      <c r="FD3" s="175" t="s">
        <v>44</v>
      </c>
      <c r="FE3" s="175" t="s">
        <v>215</v>
      </c>
      <c r="FF3" s="175" t="s">
        <v>82</v>
      </c>
      <c r="FG3" s="217" t="s">
        <v>4</v>
      </c>
      <c r="FH3" s="175" t="s">
        <v>44</v>
      </c>
      <c r="FI3" s="175" t="s">
        <v>215</v>
      </c>
      <c r="FJ3" s="175" t="s">
        <v>82</v>
      </c>
      <c r="FK3" s="217" t="s">
        <v>4</v>
      </c>
      <c r="FL3" s="175" t="s">
        <v>44</v>
      </c>
      <c r="FM3" s="175" t="s">
        <v>215</v>
      </c>
      <c r="FN3" s="175" t="s">
        <v>82</v>
      </c>
      <c r="FO3" s="217" t="s">
        <v>4</v>
      </c>
      <c r="FP3" s="175" t="s">
        <v>44</v>
      </c>
      <c r="FQ3" s="175" t="s">
        <v>215</v>
      </c>
      <c r="FR3" s="175" t="s">
        <v>82</v>
      </c>
      <c r="FS3" s="217" t="s">
        <v>4</v>
      </c>
      <c r="FT3" s="175" t="s">
        <v>44</v>
      </c>
      <c r="FU3" s="175" t="s">
        <v>215</v>
      </c>
      <c r="FV3" s="175" t="s">
        <v>82</v>
      </c>
      <c r="FW3" s="217" t="s">
        <v>4</v>
      </c>
      <c r="FX3" s="175" t="s">
        <v>44</v>
      </c>
      <c r="FY3" s="175" t="s">
        <v>215</v>
      </c>
      <c r="FZ3" s="175" t="s">
        <v>82</v>
      </c>
      <c r="GA3" s="217" t="s">
        <v>4</v>
      </c>
      <c r="GB3" s="175" t="s">
        <v>44</v>
      </c>
      <c r="GC3" s="175" t="s">
        <v>215</v>
      </c>
      <c r="GD3" s="175" t="s">
        <v>82</v>
      </c>
      <c r="GE3" s="217" t="s">
        <v>4</v>
      </c>
      <c r="GF3" s="175" t="s">
        <v>44</v>
      </c>
      <c r="GG3" s="175" t="s">
        <v>215</v>
      </c>
      <c r="GH3" s="175" t="s">
        <v>82</v>
      </c>
      <c r="GI3" s="217" t="s">
        <v>4</v>
      </c>
      <c r="GJ3" s="175" t="s">
        <v>44</v>
      </c>
      <c r="GK3" s="175" t="s">
        <v>215</v>
      </c>
      <c r="GL3" s="175" t="s">
        <v>82</v>
      </c>
      <c r="GM3" s="217" t="s">
        <v>4</v>
      </c>
      <c r="GN3" s="175" t="s">
        <v>44</v>
      </c>
      <c r="GO3" s="175" t="s">
        <v>215</v>
      </c>
      <c r="GP3" s="175" t="s">
        <v>82</v>
      </c>
      <c r="GQ3" s="217" t="s">
        <v>4</v>
      </c>
      <c r="GR3" s="175" t="s">
        <v>44</v>
      </c>
      <c r="GS3" s="175" t="s">
        <v>215</v>
      </c>
      <c r="GT3" s="175" t="s">
        <v>82</v>
      </c>
      <c r="GU3" s="217" t="s">
        <v>4</v>
      </c>
      <c r="GV3" s="175" t="s">
        <v>44</v>
      </c>
      <c r="GW3" s="175" t="s">
        <v>215</v>
      </c>
      <c r="GX3" s="175" t="s">
        <v>82</v>
      </c>
      <c r="GY3" s="217" t="s">
        <v>4</v>
      </c>
      <c r="GZ3" s="175" t="s">
        <v>44</v>
      </c>
      <c r="HA3" s="175" t="s">
        <v>215</v>
      </c>
      <c r="HB3" s="175" t="s">
        <v>82</v>
      </c>
      <c r="HC3" s="217" t="s">
        <v>4</v>
      </c>
      <c r="HD3" s="175" t="s">
        <v>44</v>
      </c>
      <c r="HE3" s="175" t="s">
        <v>215</v>
      </c>
      <c r="HF3" s="175" t="s">
        <v>82</v>
      </c>
      <c r="HG3" s="217" t="s">
        <v>4</v>
      </c>
      <c r="HH3" s="175" t="s">
        <v>44</v>
      </c>
      <c r="HI3" s="175" t="s">
        <v>215</v>
      </c>
      <c r="HJ3" s="175" t="s">
        <v>82</v>
      </c>
      <c r="HK3" s="217" t="s">
        <v>4</v>
      </c>
      <c r="HL3" s="175" t="s">
        <v>44</v>
      </c>
      <c r="HM3" s="175" t="s">
        <v>215</v>
      </c>
      <c r="HN3" s="175" t="s">
        <v>82</v>
      </c>
      <c r="HO3" s="217" t="s">
        <v>4</v>
      </c>
      <c r="HP3" s="175" t="s">
        <v>44</v>
      </c>
      <c r="HQ3" s="175" t="s">
        <v>215</v>
      </c>
      <c r="HR3" s="175" t="s">
        <v>82</v>
      </c>
      <c r="HS3" s="217" t="s">
        <v>4</v>
      </c>
      <c r="HT3" s="175" t="s">
        <v>44</v>
      </c>
      <c r="HU3" s="175" t="s">
        <v>215</v>
      </c>
      <c r="HV3" s="175" t="s">
        <v>82</v>
      </c>
      <c r="HW3" s="217" t="s">
        <v>4</v>
      </c>
      <c r="HX3" s="175" t="s">
        <v>44</v>
      </c>
      <c r="HY3" s="175" t="s">
        <v>215</v>
      </c>
      <c r="HZ3" s="175" t="s">
        <v>82</v>
      </c>
      <c r="IA3" s="217" t="s">
        <v>4</v>
      </c>
      <c r="IB3" s="175" t="s">
        <v>44</v>
      </c>
      <c r="IC3" s="175" t="s">
        <v>215</v>
      </c>
      <c r="ID3" s="175" t="s">
        <v>82</v>
      </c>
      <c r="IE3" s="217" t="s">
        <v>4</v>
      </c>
      <c r="IF3" s="175" t="s">
        <v>44</v>
      </c>
      <c r="IG3" s="175" t="s">
        <v>215</v>
      </c>
      <c r="IH3" s="175" t="s">
        <v>82</v>
      </c>
      <c r="II3" s="217" t="s">
        <v>4</v>
      </c>
      <c r="IJ3" s="175" t="s">
        <v>44</v>
      </c>
      <c r="IK3" s="175" t="s">
        <v>215</v>
      </c>
      <c r="IL3" s="175" t="s">
        <v>82</v>
      </c>
      <c r="IM3" s="217" t="s">
        <v>4</v>
      </c>
      <c r="IN3" s="175" t="s">
        <v>44</v>
      </c>
      <c r="IO3" s="175" t="s">
        <v>215</v>
      </c>
      <c r="IP3" s="175" t="s">
        <v>82</v>
      </c>
      <c r="IQ3" s="217" t="s">
        <v>4</v>
      </c>
      <c r="IR3" s="175" t="s">
        <v>44</v>
      </c>
      <c r="IS3" s="175" t="s">
        <v>215</v>
      </c>
      <c r="IT3" s="175" t="s">
        <v>82</v>
      </c>
      <c r="IU3" s="217" t="s">
        <v>4</v>
      </c>
    </row>
    <row r="4" spans="1:255" ht="12">
      <c r="A4" s="180"/>
      <c r="B4" s="180"/>
      <c r="C4" s="176">
        <v>40724</v>
      </c>
      <c r="D4" s="175"/>
      <c r="E4" s="175"/>
      <c r="F4" s="175" t="s">
        <v>81</v>
      </c>
      <c r="G4" s="176">
        <v>40755</v>
      </c>
      <c r="H4" s="175"/>
      <c r="I4" s="175"/>
      <c r="J4" s="175" t="s">
        <v>81</v>
      </c>
      <c r="K4" s="176">
        <v>40786</v>
      </c>
      <c r="L4" s="175"/>
      <c r="M4" s="175"/>
      <c r="N4" s="175" t="s">
        <v>81</v>
      </c>
      <c r="O4" s="176">
        <v>40816</v>
      </c>
      <c r="P4" s="175"/>
      <c r="Q4" s="175"/>
      <c r="R4" s="175" t="s">
        <v>81</v>
      </c>
      <c r="S4" s="176">
        <v>40847</v>
      </c>
      <c r="T4" s="175"/>
      <c r="U4" s="175"/>
      <c r="V4" s="175" t="s">
        <v>81</v>
      </c>
      <c r="W4" s="176">
        <v>40877</v>
      </c>
      <c r="X4" s="175"/>
      <c r="Y4" s="175"/>
      <c r="Z4" s="175" t="s">
        <v>81</v>
      </c>
      <c r="AA4" s="176">
        <v>40908</v>
      </c>
      <c r="AB4" s="175"/>
      <c r="AC4" s="175"/>
      <c r="AD4" s="175" t="s">
        <v>81</v>
      </c>
      <c r="AE4" s="176">
        <v>40939</v>
      </c>
      <c r="AF4" s="175"/>
      <c r="AG4" s="175"/>
      <c r="AH4" s="175" t="s">
        <v>81</v>
      </c>
      <c r="AI4" s="176">
        <v>40968</v>
      </c>
      <c r="AJ4" s="175"/>
      <c r="AK4" s="175"/>
      <c r="AL4" s="175" t="s">
        <v>81</v>
      </c>
      <c r="AM4" s="176">
        <v>40999</v>
      </c>
      <c r="AN4" s="175"/>
      <c r="AO4" s="175"/>
      <c r="AP4" s="175" t="s">
        <v>81</v>
      </c>
      <c r="AQ4" s="176">
        <v>41029</v>
      </c>
      <c r="AR4" s="175"/>
      <c r="AS4" s="175"/>
      <c r="AT4" s="175" t="s">
        <v>81</v>
      </c>
      <c r="AU4" s="176">
        <v>41060</v>
      </c>
      <c r="AV4" s="175"/>
      <c r="AW4" s="175"/>
      <c r="AX4" s="175" t="s">
        <v>81</v>
      </c>
      <c r="AY4" s="176">
        <v>41090</v>
      </c>
      <c r="AZ4" s="175"/>
      <c r="BA4" s="175"/>
      <c r="BB4" s="175" t="s">
        <v>81</v>
      </c>
      <c r="BC4" s="176">
        <v>41121</v>
      </c>
      <c r="BD4" s="175"/>
      <c r="BE4" s="175"/>
      <c r="BF4" s="175" t="s">
        <v>81</v>
      </c>
      <c r="BG4" s="218">
        <v>41152</v>
      </c>
      <c r="BH4" s="175"/>
      <c r="BI4" s="175"/>
      <c r="BJ4" s="175" t="s">
        <v>81</v>
      </c>
      <c r="BK4" s="218">
        <v>41182</v>
      </c>
      <c r="BL4" s="175"/>
      <c r="BM4" s="175"/>
      <c r="BN4" s="175" t="s">
        <v>81</v>
      </c>
      <c r="BO4" s="218">
        <v>41213</v>
      </c>
      <c r="BP4" s="175"/>
      <c r="BQ4" s="175"/>
      <c r="BR4" s="175" t="s">
        <v>81</v>
      </c>
      <c r="BS4" s="218">
        <v>41243</v>
      </c>
      <c r="BT4" s="175"/>
      <c r="BU4" s="175"/>
      <c r="BV4" s="175" t="s">
        <v>81</v>
      </c>
      <c r="BW4" s="218">
        <v>41274</v>
      </c>
      <c r="BX4" s="175"/>
      <c r="BY4" s="175"/>
      <c r="BZ4" s="175" t="s">
        <v>81</v>
      </c>
      <c r="CA4" s="218">
        <v>41305</v>
      </c>
      <c r="CB4" s="175"/>
      <c r="CC4" s="175"/>
      <c r="CD4" s="175" t="s">
        <v>81</v>
      </c>
      <c r="CE4" s="218">
        <v>41333</v>
      </c>
      <c r="CF4" s="175"/>
      <c r="CG4" s="175"/>
      <c r="CH4" s="175" t="s">
        <v>81</v>
      </c>
      <c r="CI4" s="218">
        <v>41364</v>
      </c>
      <c r="CJ4" s="175"/>
      <c r="CK4" s="175"/>
      <c r="CL4" s="175" t="s">
        <v>81</v>
      </c>
      <c r="CM4" s="218">
        <v>41394</v>
      </c>
      <c r="CN4" s="175"/>
      <c r="CO4" s="175"/>
      <c r="CP4" s="175" t="s">
        <v>81</v>
      </c>
      <c r="CQ4" s="218">
        <v>41425</v>
      </c>
      <c r="CR4" s="175"/>
      <c r="CS4" s="175"/>
      <c r="CT4" s="175" t="s">
        <v>81</v>
      </c>
      <c r="CU4" s="218">
        <v>41455</v>
      </c>
      <c r="CV4" s="175"/>
      <c r="CW4" s="175"/>
      <c r="CX4" s="175" t="s">
        <v>81</v>
      </c>
      <c r="CY4" s="218">
        <v>41486</v>
      </c>
      <c r="CZ4" s="175"/>
      <c r="DA4" s="175"/>
      <c r="DB4" s="175" t="s">
        <v>81</v>
      </c>
      <c r="DC4" s="218">
        <v>41517</v>
      </c>
      <c r="DD4" s="175"/>
      <c r="DE4" s="175"/>
      <c r="DF4" s="175" t="s">
        <v>81</v>
      </c>
      <c r="DG4" s="218">
        <v>41547</v>
      </c>
      <c r="DH4" s="175"/>
      <c r="DI4" s="175"/>
      <c r="DJ4" s="175" t="s">
        <v>81</v>
      </c>
      <c r="DK4" s="218">
        <v>41578</v>
      </c>
      <c r="DL4" s="175"/>
      <c r="DM4" s="175"/>
      <c r="DN4" s="175" t="s">
        <v>81</v>
      </c>
      <c r="DO4" s="218">
        <v>41608</v>
      </c>
      <c r="DP4" s="175"/>
      <c r="DQ4" s="175"/>
      <c r="DR4" s="175" t="s">
        <v>81</v>
      </c>
      <c r="DS4" s="218">
        <v>41639</v>
      </c>
      <c r="DT4" s="175"/>
      <c r="DU4" s="175"/>
      <c r="DV4" s="175" t="s">
        <v>81</v>
      </c>
      <c r="DW4" s="218">
        <v>41670</v>
      </c>
      <c r="DX4" s="175"/>
      <c r="DY4" s="175"/>
      <c r="DZ4" s="175" t="s">
        <v>81</v>
      </c>
      <c r="EA4" s="218">
        <v>41698</v>
      </c>
      <c r="EB4" s="175"/>
      <c r="EC4" s="175"/>
      <c r="ED4" s="175" t="s">
        <v>81</v>
      </c>
      <c r="EE4" s="218">
        <v>41729</v>
      </c>
      <c r="EF4" s="175"/>
      <c r="EG4" s="175"/>
      <c r="EH4" s="175" t="s">
        <v>81</v>
      </c>
      <c r="EI4" s="218">
        <v>41759</v>
      </c>
      <c r="EJ4" s="175"/>
      <c r="EK4" s="175"/>
      <c r="EL4" s="175" t="s">
        <v>81</v>
      </c>
      <c r="EM4" s="218">
        <v>41790</v>
      </c>
      <c r="EN4" s="175"/>
      <c r="EO4" s="175"/>
      <c r="EP4" s="175" t="s">
        <v>81</v>
      </c>
      <c r="EQ4" s="218">
        <v>41820</v>
      </c>
      <c r="ER4" s="175"/>
      <c r="ES4" s="175"/>
      <c r="ET4" s="175" t="s">
        <v>81</v>
      </c>
      <c r="EU4" s="218">
        <v>41851</v>
      </c>
      <c r="EV4" s="175"/>
      <c r="EW4" s="175"/>
      <c r="EX4" s="175" t="s">
        <v>81</v>
      </c>
      <c r="EY4" s="218">
        <v>41882</v>
      </c>
      <c r="EZ4" s="175"/>
      <c r="FA4" s="175"/>
      <c r="FB4" s="175" t="s">
        <v>81</v>
      </c>
      <c r="FC4" s="218">
        <v>41912</v>
      </c>
      <c r="FD4" s="175"/>
      <c r="FE4" s="175"/>
      <c r="FF4" s="175" t="s">
        <v>81</v>
      </c>
      <c r="FG4" s="218">
        <v>41943</v>
      </c>
      <c r="FH4" s="175"/>
      <c r="FI4" s="175"/>
      <c r="FJ4" s="175" t="s">
        <v>81</v>
      </c>
      <c r="FK4" s="218">
        <v>41973</v>
      </c>
      <c r="FL4" s="175"/>
      <c r="FM4" s="175"/>
      <c r="FN4" s="175" t="s">
        <v>81</v>
      </c>
      <c r="FO4" s="218">
        <v>41973</v>
      </c>
      <c r="FP4" s="175"/>
      <c r="FQ4" s="175"/>
      <c r="FR4" s="175" t="s">
        <v>81</v>
      </c>
      <c r="FS4" s="218">
        <v>42035</v>
      </c>
      <c r="FT4" s="175"/>
      <c r="FU4" s="175"/>
      <c r="FV4" s="175" t="s">
        <v>81</v>
      </c>
      <c r="FW4" s="218">
        <v>42063</v>
      </c>
      <c r="FX4" s="175"/>
      <c r="FY4" s="175"/>
      <c r="FZ4" s="175" t="s">
        <v>81</v>
      </c>
      <c r="GA4" s="218">
        <v>42094</v>
      </c>
      <c r="GB4" s="175"/>
      <c r="GC4" s="175"/>
      <c r="GD4" s="175" t="s">
        <v>81</v>
      </c>
      <c r="GE4" s="218">
        <v>42124</v>
      </c>
      <c r="GF4" s="175"/>
      <c r="GG4" s="175"/>
      <c r="GH4" s="175" t="s">
        <v>81</v>
      </c>
      <c r="GI4" s="218">
        <v>42155</v>
      </c>
      <c r="GJ4" s="175"/>
      <c r="GK4" s="175"/>
      <c r="GL4" s="175" t="s">
        <v>81</v>
      </c>
      <c r="GM4" s="218" t="s">
        <v>372</v>
      </c>
      <c r="GN4" s="175"/>
      <c r="GO4" s="175"/>
      <c r="GP4" s="175" t="s">
        <v>81</v>
      </c>
      <c r="GQ4" s="218">
        <v>42216</v>
      </c>
      <c r="GR4" s="175"/>
      <c r="GS4" s="175"/>
      <c r="GT4" s="175" t="s">
        <v>81</v>
      </c>
      <c r="GU4" s="218">
        <v>42247</v>
      </c>
      <c r="GV4" s="175"/>
      <c r="GW4" s="175"/>
      <c r="GX4" s="175" t="s">
        <v>81</v>
      </c>
      <c r="GY4" s="218">
        <v>42277</v>
      </c>
      <c r="GZ4" s="175"/>
      <c r="HA4" s="175"/>
      <c r="HB4" s="175" t="s">
        <v>81</v>
      </c>
      <c r="HC4" s="218">
        <v>42308</v>
      </c>
      <c r="HD4" s="175"/>
      <c r="HE4" s="175"/>
      <c r="HF4" s="175" t="s">
        <v>81</v>
      </c>
      <c r="HG4" s="218">
        <v>42338</v>
      </c>
      <c r="HH4" s="175"/>
      <c r="HI4" s="175"/>
      <c r="HJ4" s="175" t="s">
        <v>81</v>
      </c>
      <c r="HK4" s="218">
        <v>42369</v>
      </c>
      <c r="HL4" s="175"/>
      <c r="HM4" s="175"/>
      <c r="HN4" s="175" t="s">
        <v>81</v>
      </c>
      <c r="HO4" s="218">
        <v>42400</v>
      </c>
      <c r="HP4" s="175"/>
      <c r="HQ4" s="175"/>
      <c r="HR4" s="175" t="s">
        <v>81</v>
      </c>
      <c r="HS4" s="218">
        <v>42428</v>
      </c>
      <c r="HT4" s="175"/>
      <c r="HU4" s="175"/>
      <c r="HV4" s="175" t="s">
        <v>81</v>
      </c>
      <c r="HW4" s="218">
        <v>42460</v>
      </c>
      <c r="HX4" s="175"/>
      <c r="HY4" s="175"/>
      <c r="HZ4" s="175" t="s">
        <v>81</v>
      </c>
      <c r="IA4" s="218">
        <v>42490</v>
      </c>
      <c r="IB4" s="175"/>
      <c r="IC4" s="175"/>
      <c r="ID4" s="175" t="s">
        <v>81</v>
      </c>
      <c r="IE4" s="218">
        <v>42521</v>
      </c>
      <c r="IF4" s="175"/>
      <c r="IG4" s="175"/>
      <c r="IH4" s="175" t="s">
        <v>81</v>
      </c>
      <c r="II4" s="218">
        <v>42551</v>
      </c>
      <c r="IJ4" s="175"/>
      <c r="IK4" s="175"/>
      <c r="IL4" s="175" t="s">
        <v>81</v>
      </c>
      <c r="IM4" s="218">
        <v>42582</v>
      </c>
      <c r="IN4" s="175"/>
      <c r="IO4" s="175"/>
      <c r="IP4" s="175" t="s">
        <v>81</v>
      </c>
      <c r="IQ4" s="218">
        <v>42613</v>
      </c>
      <c r="IR4" s="175"/>
      <c r="IS4" s="175"/>
      <c r="IT4" s="175" t="s">
        <v>81</v>
      </c>
      <c r="IU4" s="218">
        <v>42643</v>
      </c>
    </row>
    <row r="5" ht="12"/>
    <row r="6" spans="1:255" ht="12">
      <c r="A6" s="181" t="s">
        <v>107</v>
      </c>
      <c r="C6" s="177">
        <v>5111698.25</v>
      </c>
      <c r="D6" s="178">
        <v>12002</v>
      </c>
      <c r="E6" s="178">
        <v>0</v>
      </c>
      <c r="F6" s="179">
        <v>0</v>
      </c>
      <c r="G6" s="177">
        <f>C8+D6+E6+F6</f>
        <v>5444279.7</v>
      </c>
      <c r="H6" s="178">
        <v>12002</v>
      </c>
      <c r="I6" s="178">
        <v>0</v>
      </c>
      <c r="J6" s="179">
        <v>0</v>
      </c>
      <c r="K6" s="177">
        <f>G8+H6+I6+J6</f>
        <v>5087594.87</v>
      </c>
      <c r="L6" s="178">
        <v>12002</v>
      </c>
      <c r="M6" s="178">
        <v>0</v>
      </c>
      <c r="N6" s="179">
        <v>0</v>
      </c>
      <c r="O6" s="177">
        <f>K6+L6+M6+N6</f>
        <v>5099596.87</v>
      </c>
      <c r="P6" s="178">
        <v>12002</v>
      </c>
      <c r="Q6" s="178">
        <v>0</v>
      </c>
      <c r="R6" s="179">
        <v>0</v>
      </c>
      <c r="S6" s="177">
        <f>O6+P6+Q6+R6</f>
        <v>5111598.87</v>
      </c>
      <c r="T6" s="178">
        <v>12002</v>
      </c>
      <c r="U6" s="178">
        <v>0</v>
      </c>
      <c r="V6" s="179">
        <v>-5635.86</v>
      </c>
      <c r="W6" s="177">
        <f>S6+T6+U6+V6</f>
        <v>5117965.01</v>
      </c>
      <c r="X6" s="178">
        <v>12002</v>
      </c>
      <c r="Y6" s="178">
        <v>0</v>
      </c>
      <c r="Z6" s="179">
        <v>-9457</v>
      </c>
      <c r="AA6" s="177">
        <f>W6+X6+Y6+Z6</f>
        <v>5120510.01</v>
      </c>
      <c r="AB6" s="178">
        <v>12002</v>
      </c>
      <c r="AC6" s="178">
        <v>0</v>
      </c>
      <c r="AD6" s="179">
        <v>0</v>
      </c>
      <c r="AE6" s="177">
        <f>AA6+AB6+AC6+AD6</f>
        <v>5132512.01</v>
      </c>
      <c r="AF6" s="178">
        <v>12002</v>
      </c>
      <c r="AG6" s="178">
        <v>0</v>
      </c>
      <c r="AH6" s="179">
        <v>-110547.98</v>
      </c>
      <c r="AI6" s="177">
        <f>AE6+AF6+AG6+AH6</f>
        <v>5033966.029999999</v>
      </c>
      <c r="AJ6" s="178">
        <v>12002</v>
      </c>
      <c r="AK6" s="178">
        <v>0</v>
      </c>
      <c r="AL6" s="179">
        <v>-29825</v>
      </c>
      <c r="AM6" s="177">
        <f>AI6+AJ6+AK6+AL6</f>
        <v>5016143.029999999</v>
      </c>
      <c r="AN6" s="178">
        <v>12002</v>
      </c>
      <c r="AO6" s="178">
        <v>0</v>
      </c>
      <c r="AP6" s="179">
        <v>-38279.16</v>
      </c>
      <c r="AQ6" s="177">
        <f>AM6+AN6+AO6+AP6</f>
        <v>4989865.869999999</v>
      </c>
      <c r="AR6" s="178">
        <v>12002</v>
      </c>
      <c r="AS6" s="178">
        <v>0</v>
      </c>
      <c r="AT6" s="179">
        <v>0</v>
      </c>
      <c r="AU6" s="177">
        <f>AQ6+AR6+AS6+AT6</f>
        <v>5001867.869999999</v>
      </c>
      <c r="AV6" s="178">
        <v>11998</v>
      </c>
      <c r="AW6" s="178">
        <v>0</v>
      </c>
      <c r="AX6" s="179">
        <v>-6219.83</v>
      </c>
      <c r="AY6" s="177">
        <f>AU6+AV6+AW6+AX6</f>
        <v>5007646.039999999</v>
      </c>
      <c r="AZ6" s="178">
        <v>12722</v>
      </c>
      <c r="BA6" s="178">
        <v>0</v>
      </c>
      <c r="BB6" s="179">
        <v>0</v>
      </c>
      <c r="BC6" s="177">
        <f>AY6+AZ6+BA6+BB6</f>
        <v>5020368.039999999</v>
      </c>
      <c r="BD6" s="178">
        <v>12722</v>
      </c>
      <c r="BE6" s="178">
        <v>0</v>
      </c>
      <c r="BF6" s="179">
        <v>0</v>
      </c>
      <c r="BG6" s="177">
        <f>BC6+BD6+BE6+BF6</f>
        <v>5033090.039999999</v>
      </c>
      <c r="BH6" s="178">
        <v>12722</v>
      </c>
      <c r="BI6" s="178">
        <v>0</v>
      </c>
      <c r="BJ6" s="179">
        <v>0</v>
      </c>
      <c r="BK6" s="177">
        <f>BG6+BH6+BI6+BJ6</f>
        <v>5045812.039999999</v>
      </c>
      <c r="BL6" s="178">
        <v>12722</v>
      </c>
      <c r="BM6" s="178">
        <v>0</v>
      </c>
      <c r="BN6" s="179">
        <v>0</v>
      </c>
      <c r="BO6" s="177">
        <f>BK6+BL6+BM6+BN6</f>
        <v>5058534.039999999</v>
      </c>
      <c r="BP6" s="178">
        <v>12722</v>
      </c>
      <c r="BQ6" s="178">
        <v>0</v>
      </c>
      <c r="BR6" s="179">
        <v>-27042.62</v>
      </c>
      <c r="BS6" s="177">
        <f>BO6+BP6+BQ6+BR6</f>
        <v>5044213.419999999</v>
      </c>
      <c r="BT6" s="178">
        <v>12722</v>
      </c>
      <c r="BU6" s="178">
        <v>0</v>
      </c>
      <c r="BV6" s="179">
        <v>0</v>
      </c>
      <c r="BW6" s="177">
        <f>BS6+BT6+BU6+BV6</f>
        <v>5056935.419999999</v>
      </c>
      <c r="BX6" s="178">
        <v>12722</v>
      </c>
      <c r="BY6" s="178">
        <v>0</v>
      </c>
      <c r="BZ6" s="179">
        <v>-236250</v>
      </c>
      <c r="CA6" s="177">
        <f>BW6+BX6+BY6+BZ6</f>
        <v>4833407.419999999</v>
      </c>
      <c r="CB6" s="178">
        <v>12722</v>
      </c>
      <c r="CC6" s="178">
        <v>0</v>
      </c>
      <c r="CD6" s="179">
        <v>-90849</v>
      </c>
      <c r="CE6" s="177">
        <f>CA6+CB6+CC6+CD6</f>
        <v>4755280.419999999</v>
      </c>
      <c r="CF6" s="178">
        <v>12722</v>
      </c>
      <c r="CG6" s="178">
        <v>0</v>
      </c>
      <c r="CH6" s="179">
        <v>-8967.48</v>
      </c>
      <c r="CI6" s="177">
        <f>CE6+CF6+CG6+CH6</f>
        <v>4759034.939999999</v>
      </c>
      <c r="CJ6" s="178">
        <v>12722</v>
      </c>
      <c r="CK6" s="178">
        <v>0</v>
      </c>
      <c r="CL6" s="179">
        <v>0</v>
      </c>
      <c r="CM6" s="177">
        <f>CI6+CJ6+CK6+CL6</f>
        <v>4771756.939999999</v>
      </c>
      <c r="CN6" s="178">
        <v>12722</v>
      </c>
      <c r="CO6" s="178">
        <v>0</v>
      </c>
      <c r="CP6" s="179">
        <v>0</v>
      </c>
      <c r="CQ6" s="177">
        <f>CM6+CN6+CO6+CP6</f>
        <v>4784478.939999999</v>
      </c>
      <c r="CR6" s="178">
        <v>12728</v>
      </c>
      <c r="CS6" s="178">
        <v>0</v>
      </c>
      <c r="CT6" s="179">
        <v>0</v>
      </c>
      <c r="CU6" s="177">
        <v>4845316.04</v>
      </c>
      <c r="CV6" s="178">
        <v>13231.66</v>
      </c>
      <c r="CW6" s="178">
        <v>0</v>
      </c>
      <c r="CX6" s="179">
        <v>0</v>
      </c>
      <c r="CY6" s="177">
        <f>CU6+CV6+CW6+CX6</f>
        <v>4858547.7</v>
      </c>
      <c r="CZ6" s="178">
        <v>13231.66</v>
      </c>
      <c r="DA6" s="178">
        <v>0</v>
      </c>
      <c r="DB6" s="179">
        <v>-29755.4</v>
      </c>
      <c r="DC6" s="177">
        <f>CY6+CZ6+DA6+DB6</f>
        <v>4842023.96</v>
      </c>
      <c r="DD6" s="178">
        <v>13231.66</v>
      </c>
      <c r="DE6" s="178">
        <v>0</v>
      </c>
      <c r="DF6" s="179">
        <v>0</v>
      </c>
      <c r="DG6" s="177">
        <f>DC6+DD6+DE6+DF6</f>
        <v>4855255.62</v>
      </c>
      <c r="DH6" s="178">
        <v>13231.66</v>
      </c>
      <c r="DI6" s="178">
        <v>0</v>
      </c>
      <c r="DJ6" s="179">
        <v>-31565</v>
      </c>
      <c r="DK6" s="177">
        <f>DG6+DH6+DI6+DJ6</f>
        <v>4836922.28</v>
      </c>
      <c r="DL6" s="178">
        <v>13231.66</v>
      </c>
      <c r="DM6" s="178">
        <v>0</v>
      </c>
      <c r="DN6" s="179">
        <v>0</v>
      </c>
      <c r="DO6" s="177">
        <f>DK6+DL6+DM6+DN6</f>
        <v>4850153.94</v>
      </c>
      <c r="DP6" s="178">
        <v>13231.66</v>
      </c>
      <c r="DQ6" s="178">
        <v>0</v>
      </c>
      <c r="DR6" s="179">
        <v>0</v>
      </c>
      <c r="DS6" s="177">
        <f>DO6+DP6+DQ6+DR6</f>
        <v>4863385.600000001</v>
      </c>
      <c r="DT6" s="178">
        <v>13231.66</v>
      </c>
      <c r="DU6" s="178">
        <v>0</v>
      </c>
      <c r="DV6" s="179">
        <v>0</v>
      </c>
      <c r="DW6" s="177">
        <f>DS6+DT6+DU6+DV6</f>
        <v>4876617.260000001</v>
      </c>
      <c r="DX6" s="178">
        <v>13231.66</v>
      </c>
      <c r="DY6" s="178">
        <v>0</v>
      </c>
      <c r="DZ6" s="179">
        <v>-19614</v>
      </c>
      <c r="EA6" s="177">
        <f>DW6+DX6+DY6+DZ6</f>
        <v>4870234.920000001</v>
      </c>
      <c r="EB6" s="178">
        <v>13231.66</v>
      </c>
      <c r="EC6" s="178">
        <v>0</v>
      </c>
      <c r="ED6" s="179">
        <v>-16488.21</v>
      </c>
      <c r="EE6" s="177">
        <f>EA6+EB6+EC6+ED6</f>
        <v>4866978.370000001</v>
      </c>
      <c r="EF6" s="178">
        <v>13231.66</v>
      </c>
      <c r="EG6" s="178">
        <v>0</v>
      </c>
      <c r="EH6" s="179">
        <v>-573.14</v>
      </c>
      <c r="EI6" s="177">
        <f>EE6+EF6+EG6+EH6</f>
        <v>4879636.8900000015</v>
      </c>
      <c r="EJ6" s="178">
        <v>13231.66</v>
      </c>
      <c r="EK6" s="178">
        <v>0</v>
      </c>
      <c r="EL6" s="179">
        <v>-39434.62</v>
      </c>
      <c r="EM6" s="177">
        <f>EI6+EJ6+EK6+EL6</f>
        <v>4853433.930000002</v>
      </c>
      <c r="EN6" s="178">
        <v>13231.66</v>
      </c>
      <c r="EO6" s="178">
        <v>0</v>
      </c>
      <c r="EP6" s="179">
        <f>-84162.08-55658.58</f>
        <v>-139820.66</v>
      </c>
      <c r="EQ6" s="177">
        <f>EM6+EN6+EO6+EP6</f>
        <v>4726844.930000002</v>
      </c>
      <c r="ER6" s="178">
        <v>14026.66</v>
      </c>
      <c r="ES6" s="178">
        <v>-37608.85</v>
      </c>
      <c r="ET6" s="179">
        <v>0</v>
      </c>
      <c r="EU6" s="177">
        <f>EQ6+ER6+ES6+ET6</f>
        <v>4703262.740000002</v>
      </c>
      <c r="EV6" s="178">
        <v>14026.66</v>
      </c>
      <c r="EW6" s="178">
        <v>0</v>
      </c>
      <c r="EX6" s="179">
        <v>-65931.88</v>
      </c>
      <c r="EY6" s="177">
        <f>EU6+EV6+EW6+EX6</f>
        <v>4651357.520000002</v>
      </c>
      <c r="EZ6" s="178">
        <v>14026.66</v>
      </c>
      <c r="FA6" s="178">
        <v>0</v>
      </c>
      <c r="FB6" s="179">
        <v>-12644.51</v>
      </c>
      <c r="FC6" s="177">
        <f>EY6+EZ6+FA6+FB6</f>
        <v>4652739.670000003</v>
      </c>
      <c r="FD6" s="178">
        <v>14026.66</v>
      </c>
      <c r="FE6" s="178">
        <v>0</v>
      </c>
      <c r="FF6" s="179">
        <v>-22400</v>
      </c>
      <c r="FG6" s="177">
        <f>FC6+FD6+FE6+FF6</f>
        <v>4644366.330000003</v>
      </c>
      <c r="FH6" s="178">
        <v>14026.66</v>
      </c>
      <c r="FI6" s="178">
        <f>32318+5290.85</f>
        <v>37608.85</v>
      </c>
      <c r="FJ6" s="179">
        <v>-26674</v>
      </c>
      <c r="FK6" s="177">
        <f>FG6+FH6+FI6+FJ6</f>
        <v>4669327.840000003</v>
      </c>
      <c r="FL6" s="178">
        <v>14026.66</v>
      </c>
      <c r="FM6" s="178">
        <v>0</v>
      </c>
      <c r="FN6" s="179">
        <v>-4213.63</v>
      </c>
      <c r="FO6" s="177">
        <f>FK6+FL6+FM6+FN6</f>
        <v>4679140.870000003</v>
      </c>
      <c r="FP6" s="178">
        <v>14026.66</v>
      </c>
      <c r="FQ6" s="178">
        <v>0</v>
      </c>
      <c r="FR6" s="179">
        <v>-26122.92</v>
      </c>
      <c r="FS6" s="177">
        <f>FO6+FP6+FQ6+FR6</f>
        <v>4667044.610000003</v>
      </c>
      <c r="FT6" s="178">
        <v>14026.66</v>
      </c>
      <c r="FU6" s="178">
        <v>0</v>
      </c>
      <c r="FV6" s="179">
        <v>-49020.32</v>
      </c>
      <c r="FW6" s="177">
        <f>FS6+FT6+FU6+FV6</f>
        <v>4632050.950000003</v>
      </c>
      <c r="FX6" s="178">
        <v>14026.66</v>
      </c>
      <c r="FY6" s="178">
        <v>0</v>
      </c>
      <c r="FZ6" s="179">
        <v>-11529.03</v>
      </c>
      <c r="GA6" s="177">
        <f>FW6+FX6+FY6+FZ6</f>
        <v>4634548.580000003</v>
      </c>
      <c r="GB6" s="178">
        <v>14026.66</v>
      </c>
      <c r="GC6" s="178">
        <v>0</v>
      </c>
      <c r="GD6" s="179">
        <v>-14457.19</v>
      </c>
      <c r="GE6" s="177">
        <f>GA6+GB6+GC6+GD6</f>
        <v>4634118.050000003</v>
      </c>
      <c r="GF6" s="178">
        <v>14026.66</v>
      </c>
      <c r="GG6" s="178">
        <v>0</v>
      </c>
      <c r="GH6" s="179">
        <v>-60914.01</v>
      </c>
      <c r="GI6" s="177">
        <f>GE6+GF6+GG6+GH6</f>
        <v>4587230.700000003</v>
      </c>
      <c r="GJ6" s="178">
        <v>14026.66</v>
      </c>
      <c r="GK6" s="178">
        <v>0</v>
      </c>
      <c r="GL6" s="179">
        <f>-19628.65-13157.81</f>
        <v>-32786.46</v>
      </c>
      <c r="GM6" s="177">
        <f>GI6+GJ6+GK6+GL6</f>
        <v>4568470.900000003</v>
      </c>
      <c r="GN6" s="239">
        <v>14869.16</v>
      </c>
      <c r="GO6" s="178">
        <v>0</v>
      </c>
      <c r="GP6" s="179">
        <v>0</v>
      </c>
      <c r="GQ6" s="177">
        <f>GM6+GN6+GO6+GP6+GM7</f>
        <v>4730594.330000003</v>
      </c>
      <c r="GR6" s="239">
        <v>14869.16</v>
      </c>
      <c r="GS6" s="178">
        <v>0</v>
      </c>
      <c r="GT6" s="179">
        <v>-16303.92</v>
      </c>
      <c r="GU6" s="177">
        <f>GQ6+GR6+GS6+GT6</f>
        <v>4729159.570000003</v>
      </c>
      <c r="GV6" s="239">
        <v>14869.16</v>
      </c>
      <c r="GW6" s="178">
        <v>0</v>
      </c>
      <c r="GX6" s="179">
        <v>-13973.41</v>
      </c>
      <c r="GY6" s="177">
        <f>GU6+GV6+GW6+GX6</f>
        <v>4730055.320000003</v>
      </c>
      <c r="GZ6" s="239">
        <v>14869.16</v>
      </c>
      <c r="HA6" s="178">
        <v>0</v>
      </c>
      <c r="HB6" s="179">
        <v>0</v>
      </c>
      <c r="HC6" s="177">
        <f>GY6+GZ6+HA6+HB6</f>
        <v>4744924.480000003</v>
      </c>
      <c r="HD6" s="239">
        <v>14869.16</v>
      </c>
      <c r="HE6" s="178">
        <v>0</v>
      </c>
      <c r="HF6" s="179">
        <v>-7107.71</v>
      </c>
      <c r="HG6" s="177">
        <f>HC6+HD6+HE6+HF6</f>
        <v>4752685.930000003</v>
      </c>
      <c r="HH6" s="239">
        <v>14869.16</v>
      </c>
      <c r="HI6" s="178">
        <v>0</v>
      </c>
      <c r="HJ6" s="179">
        <v>-8600</v>
      </c>
      <c r="HK6" s="177">
        <f>HG6+HH6+HI6+HJ6</f>
        <v>4758955.090000004</v>
      </c>
      <c r="HL6" s="239">
        <v>14869.16</v>
      </c>
      <c r="HM6" s="178">
        <v>0</v>
      </c>
      <c r="HN6" s="179">
        <v>-161527.96</v>
      </c>
      <c r="HO6" s="177">
        <f>HK6+HL6+HM6+HN6</f>
        <v>4612296.290000004</v>
      </c>
      <c r="HP6" s="239">
        <v>14869.16</v>
      </c>
      <c r="HQ6" s="178">
        <v>0</v>
      </c>
      <c r="HR6" s="179">
        <v>-27980.04</v>
      </c>
      <c r="HS6" s="177">
        <f>HO6+HP6+HQ6+HR6</f>
        <v>4599185.410000004</v>
      </c>
      <c r="HT6" s="239">
        <v>14869.16</v>
      </c>
      <c r="HU6" s="178">
        <v>0</v>
      </c>
      <c r="HV6" s="179">
        <v>-249298.38</v>
      </c>
      <c r="HW6" s="177">
        <f>HS6+HT6+HU6+HV6</f>
        <v>4364756.190000004</v>
      </c>
      <c r="HX6" s="239">
        <v>14869.16</v>
      </c>
      <c r="HY6" s="178">
        <v>0</v>
      </c>
      <c r="HZ6" s="179">
        <v>0</v>
      </c>
      <c r="IA6" s="177">
        <f>HW6+HX6+HY6+HZ6</f>
        <v>4379625.350000004</v>
      </c>
      <c r="IB6" s="239">
        <v>14869.16</v>
      </c>
      <c r="IC6" s="178">
        <v>0</v>
      </c>
      <c r="ID6" s="179">
        <v>-1236.4</v>
      </c>
      <c r="IE6" s="177">
        <f>IA6+IB6+IC6+ID6</f>
        <v>4393258.110000004</v>
      </c>
      <c r="IF6" s="239">
        <f>14869.24+700000</f>
        <v>714869.24</v>
      </c>
      <c r="IG6" s="178">
        <v>0</v>
      </c>
      <c r="IH6" s="179">
        <v>-202833.21</v>
      </c>
      <c r="II6" s="177">
        <f>IE6+IF6+IG6+IH6</f>
        <v>4905294.140000004</v>
      </c>
      <c r="IJ6" s="239">
        <v>15762.5</v>
      </c>
      <c r="IK6" s="178">
        <v>0</v>
      </c>
      <c r="IL6" s="179">
        <v>0</v>
      </c>
      <c r="IM6" s="177">
        <f>II6+IJ6+IK6+IL6</f>
        <v>4921056.640000004</v>
      </c>
      <c r="IN6" s="239">
        <v>15762.5</v>
      </c>
      <c r="IO6" s="178">
        <v>0</v>
      </c>
      <c r="IP6" s="179">
        <v>0</v>
      </c>
      <c r="IQ6" s="177">
        <f>IM6+IN6+IO6+IP6</f>
        <v>4936819.140000004</v>
      </c>
      <c r="IR6" s="239">
        <v>15762.5</v>
      </c>
      <c r="IS6" s="178">
        <v>0</v>
      </c>
      <c r="IT6" s="179">
        <v>-1736.84</v>
      </c>
      <c r="IU6" s="177">
        <f>IQ6+IR6+IS6+IT6</f>
        <v>4950844.8000000045</v>
      </c>
    </row>
    <row r="7" spans="3:195" ht="12">
      <c r="C7" s="173">
        <v>320579.45</v>
      </c>
      <c r="G7" s="173">
        <v>-368686.83</v>
      </c>
      <c r="ES7" s="173" t="s">
        <v>343</v>
      </c>
      <c r="GM7" s="173">
        <v>147254.27</v>
      </c>
    </row>
    <row r="8" spans="3:7" ht="12">
      <c r="C8" s="178">
        <f>SUM(C6:C7)</f>
        <v>5432277.7</v>
      </c>
      <c r="G8" s="178">
        <f>SUM(G6:G7)</f>
        <v>5075592.87</v>
      </c>
    </row>
    <row r="9" ht="12">
      <c r="A9" s="182" t="s">
        <v>95</v>
      </c>
    </row>
    <row r="10" ht="12">
      <c r="A10" s="182"/>
    </row>
    <row r="11" ht="12">
      <c r="A11" s="182" t="s">
        <v>96</v>
      </c>
    </row>
    <row r="12" spans="1:254" ht="12">
      <c r="A12" s="182" t="s">
        <v>97</v>
      </c>
      <c r="D12" s="178"/>
      <c r="E12" s="178">
        <f>E6</f>
        <v>0</v>
      </c>
      <c r="F12" s="179">
        <f>B12+F6</f>
        <v>0</v>
      </c>
      <c r="H12" s="178"/>
      <c r="I12" s="178">
        <f>I6</f>
        <v>0</v>
      </c>
      <c r="J12" s="179">
        <f>F12+J6</f>
        <v>0</v>
      </c>
      <c r="L12" s="178"/>
      <c r="M12" s="178">
        <f>M6</f>
        <v>0</v>
      </c>
      <c r="N12" s="179">
        <f>J12+N6</f>
        <v>0</v>
      </c>
      <c r="P12" s="178"/>
      <c r="Q12" s="178">
        <f>Q6</f>
        <v>0</v>
      </c>
      <c r="R12" s="179">
        <f>N12+R6</f>
        <v>0</v>
      </c>
      <c r="T12" s="178"/>
      <c r="U12" s="178">
        <f>U6</f>
        <v>0</v>
      </c>
      <c r="V12" s="179">
        <f>R12+V6</f>
        <v>-5635.86</v>
      </c>
      <c r="X12" s="178"/>
      <c r="Y12" s="178">
        <f>Y6</f>
        <v>0</v>
      </c>
      <c r="Z12" s="179">
        <f>V12+Z6</f>
        <v>-15092.86</v>
      </c>
      <c r="AB12" s="178"/>
      <c r="AC12" s="178">
        <f>AC6</f>
        <v>0</v>
      </c>
      <c r="AD12" s="179">
        <f>Z12+AD6</f>
        <v>-15092.86</v>
      </c>
      <c r="AF12" s="178"/>
      <c r="AG12" s="178">
        <f>AG6</f>
        <v>0</v>
      </c>
      <c r="AH12" s="179">
        <f>AD12+AH6</f>
        <v>-125640.84</v>
      </c>
      <c r="AJ12" s="178"/>
      <c r="AK12" s="178">
        <f>AK6</f>
        <v>0</v>
      </c>
      <c r="AL12" s="179">
        <f>AH12+AL6</f>
        <v>-155465.84</v>
      </c>
      <c r="AN12" s="178"/>
      <c r="AO12" s="178">
        <f>AO6</f>
        <v>0</v>
      </c>
      <c r="AP12" s="179">
        <f>AL12+AP6</f>
        <v>-193745</v>
      </c>
      <c r="AR12" s="178"/>
      <c r="AS12" s="178">
        <f>AS6</f>
        <v>0</v>
      </c>
      <c r="AT12" s="179">
        <f>AP12+AT6</f>
        <v>-193745</v>
      </c>
      <c r="AV12" s="178"/>
      <c r="AW12" s="178">
        <f>AW6</f>
        <v>0</v>
      </c>
      <c r="AX12" s="179">
        <f>AT12+AX6</f>
        <v>-199964.83</v>
      </c>
      <c r="AZ12" s="178"/>
      <c r="BA12" s="178">
        <f>BA6</f>
        <v>0</v>
      </c>
      <c r="BB12" s="179">
        <f>BB6</f>
        <v>0</v>
      </c>
      <c r="BD12" s="178">
        <f>AZ6+BD6</f>
        <v>25444</v>
      </c>
      <c r="BE12" s="178">
        <f>BE6</f>
        <v>0</v>
      </c>
      <c r="BF12" s="179">
        <f>BF6</f>
        <v>0</v>
      </c>
      <c r="BH12" s="178">
        <f>BH6+BD12</f>
        <v>38166</v>
      </c>
      <c r="BI12" s="178">
        <f>BI6</f>
        <v>0</v>
      </c>
      <c r="BJ12" s="179">
        <f>BJ6</f>
        <v>0</v>
      </c>
      <c r="BL12" s="178">
        <f>BL6+BH12</f>
        <v>50888</v>
      </c>
      <c r="BM12" s="178">
        <f>BM6</f>
        <v>0</v>
      </c>
      <c r="BN12" s="179">
        <f>BN6</f>
        <v>0</v>
      </c>
      <c r="BP12" s="178">
        <f>BP6+BL12</f>
        <v>63610</v>
      </c>
      <c r="BQ12" s="178">
        <f>BQ6</f>
        <v>0</v>
      </c>
      <c r="BR12" s="179">
        <f>BR6</f>
        <v>-27042.62</v>
      </c>
      <c r="BT12" s="178">
        <f>BT6+BP12</f>
        <v>76332</v>
      </c>
      <c r="BU12" s="178">
        <f>BU6</f>
        <v>0</v>
      </c>
      <c r="BV12" s="179">
        <f>BR12+BV6</f>
        <v>-27042.62</v>
      </c>
      <c r="BX12" s="178">
        <f>BX6+BT12</f>
        <v>89054</v>
      </c>
      <c r="BY12" s="178">
        <f>BY6</f>
        <v>0</v>
      </c>
      <c r="BZ12" s="179">
        <f>BV12+BZ6</f>
        <v>-263292.62</v>
      </c>
      <c r="CB12" s="178">
        <f>CB6+BX12</f>
        <v>101776</v>
      </c>
      <c r="CC12" s="178">
        <f>CC6</f>
        <v>0</v>
      </c>
      <c r="CD12" s="179">
        <f>BZ12+CD6</f>
        <v>-354141.62</v>
      </c>
      <c r="CF12" s="178">
        <f>CF6+CB12</f>
        <v>114498</v>
      </c>
      <c r="CG12" s="178">
        <f>CG6</f>
        <v>0</v>
      </c>
      <c r="CH12" s="179">
        <f>CD12+CH6</f>
        <v>-363109.1</v>
      </c>
      <c r="CJ12" s="178">
        <f>CJ6+CF12</f>
        <v>127220</v>
      </c>
      <c r="CK12" s="178">
        <f>CK6</f>
        <v>0</v>
      </c>
      <c r="CL12" s="179">
        <f>CH12+CL6</f>
        <v>-363109.1</v>
      </c>
      <c r="CN12" s="178">
        <f>CN6+CJ12</f>
        <v>139942</v>
      </c>
      <c r="CO12" s="178">
        <f>CO6</f>
        <v>0</v>
      </c>
      <c r="CP12" s="179">
        <f>CL12+CP6</f>
        <v>-363109.1</v>
      </c>
      <c r="CR12" s="178">
        <f>CR6+CN12</f>
        <v>152670</v>
      </c>
      <c r="CS12" s="178">
        <f>CS6</f>
        <v>0</v>
      </c>
      <c r="CT12" s="179">
        <f>CP12+CT6</f>
        <v>-363109.1</v>
      </c>
      <c r="CV12" s="178">
        <f>CV6</f>
        <v>13231.66</v>
      </c>
      <c r="CW12" s="178">
        <f>CW6</f>
        <v>0</v>
      </c>
      <c r="CX12" s="179">
        <v>0</v>
      </c>
      <c r="CZ12" s="178">
        <f>CV12+CZ6</f>
        <v>26463.32</v>
      </c>
      <c r="DA12" s="178">
        <f>DA6</f>
        <v>0</v>
      </c>
      <c r="DB12" s="179">
        <f>CX12+DB6</f>
        <v>-29755.4</v>
      </c>
      <c r="DD12" s="178">
        <f>CZ12+DD6</f>
        <v>39694.979999999996</v>
      </c>
      <c r="DE12" s="178">
        <f>DE6</f>
        <v>0</v>
      </c>
      <c r="DF12" s="179">
        <f>DB12+DF6</f>
        <v>-29755.4</v>
      </c>
      <c r="DH12" s="178">
        <f>DD12+DH6</f>
        <v>52926.64</v>
      </c>
      <c r="DI12" s="178">
        <f>DI6</f>
        <v>0</v>
      </c>
      <c r="DJ12" s="179">
        <f>DF12+DJ6</f>
        <v>-61320.4</v>
      </c>
      <c r="DL12" s="178">
        <f>DH12+DL6</f>
        <v>66158.3</v>
      </c>
      <c r="DM12" s="178">
        <f>DM6</f>
        <v>0</v>
      </c>
      <c r="DN12" s="179">
        <f>DJ12+DN6</f>
        <v>-61320.4</v>
      </c>
      <c r="DP12" s="178">
        <f>DL12+DP6</f>
        <v>79389.96</v>
      </c>
      <c r="DQ12" s="178">
        <f>DQ6</f>
        <v>0</v>
      </c>
      <c r="DR12" s="179">
        <f>DN12+DR6</f>
        <v>-61320.4</v>
      </c>
      <c r="DT12" s="178">
        <f>DP12+DT6</f>
        <v>92621.62000000001</v>
      </c>
      <c r="DU12" s="178">
        <f>DU6</f>
        <v>0</v>
      </c>
      <c r="DV12" s="179">
        <f>DR12+DV6</f>
        <v>-61320.4</v>
      </c>
      <c r="DX12" s="178">
        <f>DT12+DX6</f>
        <v>105853.28000000001</v>
      </c>
      <c r="DY12" s="178">
        <f>DY6</f>
        <v>0</v>
      </c>
      <c r="DZ12" s="179">
        <f>DV12+DZ6</f>
        <v>-80934.4</v>
      </c>
      <c r="EB12" s="178">
        <f>DX12+EB6</f>
        <v>119084.94000000002</v>
      </c>
      <c r="EC12" s="178">
        <f>EC6</f>
        <v>0</v>
      </c>
      <c r="ED12" s="179">
        <f>DZ12+ED6</f>
        <v>-97422.60999999999</v>
      </c>
      <c r="EF12" s="178">
        <f>EB12+EF6</f>
        <v>132316.6</v>
      </c>
      <c r="EG12" s="178">
        <f>EG6</f>
        <v>0</v>
      </c>
      <c r="EH12" s="179">
        <f>ED12+EH6</f>
        <v>-97995.74999999999</v>
      </c>
      <c r="EJ12" s="178">
        <f>EF12+EJ6</f>
        <v>145548.26</v>
      </c>
      <c r="EK12" s="178">
        <f>EK6</f>
        <v>0</v>
      </c>
      <c r="EL12" s="179">
        <f>EH12+EL6</f>
        <v>-137430.37</v>
      </c>
      <c r="EN12" s="178">
        <f>EJ12+EN6</f>
        <v>158779.92</v>
      </c>
      <c r="EO12" s="178">
        <f>EO6</f>
        <v>0</v>
      </c>
      <c r="EP12" s="179">
        <f>EL12+EP6</f>
        <v>-277251.03</v>
      </c>
      <c r="ER12" s="178">
        <f>ER6</f>
        <v>14026.66</v>
      </c>
      <c r="ES12" s="178">
        <f>ES6</f>
        <v>-37608.85</v>
      </c>
      <c r="ET12" s="179">
        <v>0</v>
      </c>
      <c r="EV12" s="178">
        <f>ER12+EV6</f>
        <v>28053.32</v>
      </c>
      <c r="EW12" s="178">
        <f>EW6</f>
        <v>0</v>
      </c>
      <c r="EX12" s="179">
        <f>ET12+EX6</f>
        <v>-65931.88</v>
      </c>
      <c r="EZ12" s="178">
        <f>EV12+EZ6</f>
        <v>42079.979999999996</v>
      </c>
      <c r="FA12" s="178">
        <f>FA6</f>
        <v>0</v>
      </c>
      <c r="FB12" s="179">
        <f>EX12+FB6</f>
        <v>-78576.39</v>
      </c>
      <c r="FD12" s="178">
        <f>EZ12+FD6</f>
        <v>56106.64</v>
      </c>
      <c r="FE12" s="178">
        <f>FE6</f>
        <v>0</v>
      </c>
      <c r="FF12" s="179">
        <f>FB12+FF6</f>
        <v>-100976.39</v>
      </c>
      <c r="FH12" s="178">
        <f>FD12+FH6</f>
        <v>70133.3</v>
      </c>
      <c r="FI12" s="178">
        <f>FI6</f>
        <v>37608.85</v>
      </c>
      <c r="FJ12" s="179">
        <f>FF12+FJ6</f>
        <v>-127650.39</v>
      </c>
      <c r="FL12" s="178">
        <f>FH12+FL6</f>
        <v>84159.96</v>
      </c>
      <c r="FM12" s="178">
        <f>FM6</f>
        <v>0</v>
      </c>
      <c r="FN12" s="179">
        <f>FJ12+FN6</f>
        <v>-131864.02</v>
      </c>
      <c r="FP12" s="178">
        <f>FL12+FP6</f>
        <v>98186.62000000001</v>
      </c>
      <c r="FQ12" s="178">
        <f>FQ6</f>
        <v>0</v>
      </c>
      <c r="FR12" s="179">
        <f>FN12+FR6</f>
        <v>-157986.94</v>
      </c>
      <c r="FT12" s="178">
        <f>FP12+FT6</f>
        <v>112213.28000000001</v>
      </c>
      <c r="FU12" s="178">
        <f>FU6</f>
        <v>0</v>
      </c>
      <c r="FV12" s="179">
        <f>FR12+FV6</f>
        <v>-207007.26</v>
      </c>
      <c r="FX12" s="178">
        <f>FT12+FX6</f>
        <v>126239.94000000002</v>
      </c>
      <c r="FY12" s="178">
        <f>FY6</f>
        <v>0</v>
      </c>
      <c r="FZ12" s="179">
        <f>FV12+FZ6</f>
        <v>-218536.29</v>
      </c>
      <c r="GB12" s="178">
        <f>FX12+GB6</f>
        <v>140266.6</v>
      </c>
      <c r="GC12" s="178">
        <f>GC6</f>
        <v>0</v>
      </c>
      <c r="GD12" s="179">
        <f>FZ12+GD6</f>
        <v>-232993.48</v>
      </c>
      <c r="GF12" s="178">
        <f>GB12+GF6</f>
        <v>154293.26</v>
      </c>
      <c r="GG12" s="178">
        <f>GG6</f>
        <v>0</v>
      </c>
      <c r="GH12" s="179">
        <f>GD12+GH6</f>
        <v>-293907.49</v>
      </c>
      <c r="GJ12" s="178">
        <f>GF12+GJ6</f>
        <v>168319.92</v>
      </c>
      <c r="GK12" s="178">
        <f>GK6</f>
        <v>0</v>
      </c>
      <c r="GL12" s="179">
        <f>GH12+GL6</f>
        <v>-326693.95</v>
      </c>
      <c r="GN12" s="178">
        <f>GN6</f>
        <v>14869.16</v>
      </c>
      <c r="GO12" s="178">
        <f>GO6</f>
        <v>0</v>
      </c>
      <c r="GP12" s="179"/>
      <c r="GR12" s="178">
        <f>GN12+GR6</f>
        <v>29738.32</v>
      </c>
      <c r="GS12" s="178">
        <f>GS6</f>
        <v>0</v>
      </c>
      <c r="GT12" s="179"/>
      <c r="GV12" s="178">
        <f>GR12+GV6</f>
        <v>44607.479999999996</v>
      </c>
      <c r="GW12" s="178">
        <f>GW6</f>
        <v>0</v>
      </c>
      <c r="GX12" s="179"/>
      <c r="GZ12" s="178">
        <f>GV12+GZ6</f>
        <v>59476.64</v>
      </c>
      <c r="HA12" s="178">
        <f>HA6</f>
        <v>0</v>
      </c>
      <c r="HB12" s="179"/>
      <c r="HD12" s="178">
        <f>GZ12+HD6</f>
        <v>74345.8</v>
      </c>
      <c r="HE12" s="178">
        <f>HE6</f>
        <v>0</v>
      </c>
      <c r="HF12" s="179"/>
      <c r="HH12" s="178">
        <f>HD12+HH6</f>
        <v>89214.96</v>
      </c>
      <c r="HI12" s="178">
        <f>HI6</f>
        <v>0</v>
      </c>
      <c r="HJ12" s="179"/>
      <c r="HL12" s="178">
        <f>HH12+HL6</f>
        <v>104084.12000000001</v>
      </c>
      <c r="HM12" s="178">
        <f>HM6</f>
        <v>0</v>
      </c>
      <c r="HN12" s="179"/>
      <c r="HP12" s="178">
        <f>HL12+HP6</f>
        <v>118953.28000000001</v>
      </c>
      <c r="HQ12" s="178">
        <f>HQ6</f>
        <v>0</v>
      </c>
      <c r="HR12" s="179"/>
      <c r="HT12" s="178">
        <f>HP12+HT6</f>
        <v>133822.44</v>
      </c>
      <c r="HU12" s="178">
        <f>HU6</f>
        <v>0</v>
      </c>
      <c r="HV12" s="179"/>
      <c r="HX12" s="178">
        <f>HT12+HX6</f>
        <v>148691.6</v>
      </c>
      <c r="HY12" s="178">
        <f>HY6</f>
        <v>0</v>
      </c>
      <c r="HZ12" s="179"/>
      <c r="IB12" s="178">
        <f>HX12+IB6</f>
        <v>163560.76</v>
      </c>
      <c r="IC12" s="178">
        <f>IC6</f>
        <v>0</v>
      </c>
      <c r="ID12" s="179"/>
      <c r="IF12" s="178">
        <f>IB12+IF6</f>
        <v>878430</v>
      </c>
      <c r="IG12" s="178">
        <f>IG6</f>
        <v>0</v>
      </c>
      <c r="IH12" s="179"/>
      <c r="IJ12" s="178">
        <f>IJ6</f>
        <v>15762.5</v>
      </c>
      <c r="IK12" s="178">
        <f>IK6</f>
        <v>0</v>
      </c>
      <c r="IL12" s="179"/>
      <c r="IN12" s="178">
        <f>IN6+IJ6</f>
        <v>31525</v>
      </c>
      <c r="IO12" s="178">
        <f>IO6</f>
        <v>0</v>
      </c>
      <c r="IP12" s="179"/>
      <c r="IR12" s="178">
        <f>IN12+IR6</f>
        <v>47287.5</v>
      </c>
      <c r="IS12" s="178">
        <f>IS6</f>
        <v>0</v>
      </c>
      <c r="IT12" s="179"/>
    </row>
    <row r="13" spans="1:254" ht="12">
      <c r="A13" s="182" t="s">
        <v>98</v>
      </c>
      <c r="FM13" s="173" t="s">
        <v>354</v>
      </c>
      <c r="FN13" s="173">
        <v>34106.87</v>
      </c>
      <c r="FQ13" s="173" t="s">
        <v>354</v>
      </c>
      <c r="FR13" s="173">
        <v>66354.09</v>
      </c>
      <c r="FU13" s="173" t="s">
        <v>354</v>
      </c>
      <c r="FV13" s="173">
        <v>66354.09</v>
      </c>
      <c r="FY13" s="173" t="s">
        <v>354</v>
      </c>
      <c r="FZ13" s="173">
        <v>66354.09</v>
      </c>
      <c r="GC13" s="173" t="s">
        <v>354</v>
      </c>
      <c r="GD13" s="173">
        <v>81816.35</v>
      </c>
      <c r="GG13" s="173" t="s">
        <v>354</v>
      </c>
      <c r="GH13" s="173">
        <v>81816.35</v>
      </c>
      <c r="GK13" s="173" t="s">
        <v>354</v>
      </c>
      <c r="GL13" s="173">
        <v>274981.36</v>
      </c>
      <c r="GO13" s="173" t="s">
        <v>354</v>
      </c>
      <c r="GS13" s="173" t="s">
        <v>354</v>
      </c>
      <c r="GW13" s="173" t="s">
        <v>354</v>
      </c>
      <c r="HA13" s="173" t="s">
        <v>354</v>
      </c>
      <c r="HE13" s="173" t="s">
        <v>354</v>
      </c>
      <c r="HI13" s="173" t="s">
        <v>354</v>
      </c>
      <c r="HM13" s="173" t="s">
        <v>354</v>
      </c>
      <c r="HQ13" s="173" t="s">
        <v>354</v>
      </c>
      <c r="HU13" s="173" t="s">
        <v>354</v>
      </c>
      <c r="HV13" s="173">
        <v>175003.18</v>
      </c>
      <c r="HY13" s="173" t="s">
        <v>354</v>
      </c>
      <c r="HZ13" s="173">
        <v>175003.18</v>
      </c>
      <c r="IC13" s="173" t="s">
        <v>354</v>
      </c>
      <c r="ID13" s="173">
        <v>175003.18</v>
      </c>
      <c r="IG13" s="173" t="s">
        <v>354</v>
      </c>
      <c r="IH13" s="173">
        <f>175003.18+52306.78</f>
        <v>227309.96</v>
      </c>
      <c r="IK13" s="173" t="s">
        <v>354</v>
      </c>
      <c r="IL13" s="173">
        <v>0</v>
      </c>
      <c r="IO13" s="173" t="s">
        <v>354</v>
      </c>
      <c r="IP13" s="173">
        <v>0</v>
      </c>
      <c r="IS13" s="173" t="s">
        <v>354</v>
      </c>
      <c r="IT13" s="173">
        <v>0</v>
      </c>
    </row>
    <row r="14" spans="5:254" ht="12">
      <c r="E14" s="173" t="s">
        <v>216</v>
      </c>
      <c r="I14" s="173" t="s">
        <v>216</v>
      </c>
      <c r="M14" s="173" t="s">
        <v>216</v>
      </c>
      <c r="Q14" s="173" t="s">
        <v>216</v>
      </c>
      <c r="U14" s="173" t="s">
        <v>216</v>
      </c>
      <c r="Y14" s="173" t="s">
        <v>216</v>
      </c>
      <c r="AC14" s="173" t="s">
        <v>216</v>
      </c>
      <c r="AG14" s="173" t="s">
        <v>216</v>
      </c>
      <c r="AK14" s="173" t="s">
        <v>216</v>
      </c>
      <c r="AO14" s="173" t="s">
        <v>216</v>
      </c>
      <c r="AS14" s="173" t="s">
        <v>216</v>
      </c>
      <c r="AW14" s="173" t="s">
        <v>216</v>
      </c>
      <c r="BA14" s="173" t="s">
        <v>216</v>
      </c>
      <c r="BE14" s="173" t="s">
        <v>216</v>
      </c>
      <c r="BI14" s="173" t="s">
        <v>216</v>
      </c>
      <c r="BM14" s="173" t="s">
        <v>216</v>
      </c>
      <c r="BQ14" s="173" t="s">
        <v>216</v>
      </c>
      <c r="BU14" s="173" t="s">
        <v>216</v>
      </c>
      <c r="BY14" s="173" t="s">
        <v>216</v>
      </c>
      <c r="CC14" s="173" t="s">
        <v>216</v>
      </c>
      <c r="CG14" s="173" t="s">
        <v>216</v>
      </c>
      <c r="CK14" s="173" t="s">
        <v>216</v>
      </c>
      <c r="CO14" s="173" t="s">
        <v>216</v>
      </c>
      <c r="CS14" s="173" t="s">
        <v>216</v>
      </c>
      <c r="CW14" s="173" t="s">
        <v>216</v>
      </c>
      <c r="DA14" s="173" t="s">
        <v>216</v>
      </c>
      <c r="DE14" s="173" t="s">
        <v>216</v>
      </c>
      <c r="DI14" s="173" t="s">
        <v>216</v>
      </c>
      <c r="DM14" s="173" t="s">
        <v>216</v>
      </c>
      <c r="DQ14" s="173" t="s">
        <v>216</v>
      </c>
      <c r="DU14" s="173" t="s">
        <v>216</v>
      </c>
      <c r="DY14" s="173" t="s">
        <v>216</v>
      </c>
      <c r="EC14" s="173" t="s">
        <v>216</v>
      </c>
      <c r="EG14" s="173" t="s">
        <v>216</v>
      </c>
      <c r="EK14" s="173" t="s">
        <v>216</v>
      </c>
      <c r="EO14" s="173" t="s">
        <v>216</v>
      </c>
      <c r="ES14" s="173" t="s">
        <v>216</v>
      </c>
      <c r="EW14" s="173" t="s">
        <v>216</v>
      </c>
      <c r="FA14" s="173" t="s">
        <v>216</v>
      </c>
      <c r="FE14" s="173" t="s">
        <v>216</v>
      </c>
      <c r="FI14" s="173" t="s">
        <v>216</v>
      </c>
      <c r="FM14" s="173" t="s">
        <v>216</v>
      </c>
      <c r="FN14" s="179">
        <f>SUM(FN12:FN13)</f>
        <v>-97757.15</v>
      </c>
      <c r="FQ14" s="173" t="s">
        <v>216</v>
      </c>
      <c r="FR14" s="179">
        <f>SUM(FR12:FR13)</f>
        <v>-91632.85</v>
      </c>
      <c r="FU14" s="173" t="s">
        <v>216</v>
      </c>
      <c r="FV14" s="179">
        <f>SUM(FV12:FV13)</f>
        <v>-140653.17</v>
      </c>
      <c r="FY14" s="173" t="s">
        <v>216</v>
      </c>
      <c r="FZ14" s="179">
        <f>SUM(FZ12:FZ13)</f>
        <v>-152182.2</v>
      </c>
      <c r="GC14" s="173" t="s">
        <v>216</v>
      </c>
      <c r="GD14" s="179">
        <f>SUM(GD12:GD13)</f>
        <v>-151177.13</v>
      </c>
      <c r="GG14" s="173" t="s">
        <v>216</v>
      </c>
      <c r="GH14" s="179">
        <f>SUM(GH12:GH13)</f>
        <v>-212091.13999999998</v>
      </c>
      <c r="GK14" s="173" t="s">
        <v>216</v>
      </c>
      <c r="GL14" s="179">
        <f>SUM(GL12:GL13)</f>
        <v>-51712.590000000026</v>
      </c>
      <c r="GO14" s="173" t="s">
        <v>216</v>
      </c>
      <c r="GP14" s="179"/>
      <c r="GS14" s="173" t="s">
        <v>216</v>
      </c>
      <c r="GT14" s="179"/>
      <c r="GW14" s="173" t="s">
        <v>216</v>
      </c>
      <c r="GX14" s="179"/>
      <c r="HA14" s="173" t="s">
        <v>216</v>
      </c>
      <c r="HB14" s="179"/>
      <c r="HE14" s="173" t="s">
        <v>216</v>
      </c>
      <c r="HF14" s="179"/>
      <c r="HI14" s="173" t="s">
        <v>216</v>
      </c>
      <c r="HJ14" s="179"/>
      <c r="HM14" s="173" t="s">
        <v>216</v>
      </c>
      <c r="HN14" s="179"/>
      <c r="HQ14" s="173" t="s">
        <v>216</v>
      </c>
      <c r="HR14" s="179"/>
      <c r="HU14" s="173" t="s">
        <v>216</v>
      </c>
      <c r="HV14" s="179"/>
      <c r="HY14" s="173" t="s">
        <v>216</v>
      </c>
      <c r="HZ14" s="179"/>
      <c r="IC14" s="173" t="s">
        <v>216</v>
      </c>
      <c r="ID14" s="179"/>
      <c r="IG14" s="173" t="s">
        <v>216</v>
      </c>
      <c r="IH14" s="179"/>
      <c r="IK14" s="173" t="s">
        <v>216</v>
      </c>
      <c r="IL14" s="179"/>
      <c r="IO14" s="173" t="s">
        <v>216</v>
      </c>
      <c r="IP14" s="179"/>
      <c r="IS14" s="173" t="s">
        <v>216</v>
      </c>
      <c r="IT14" s="179"/>
    </row>
    <row r="16" ht="12">
      <c r="A16" s="182" t="s">
        <v>117</v>
      </c>
    </row>
    <row r="17" spans="1:255" ht="12">
      <c r="A17" s="182" t="s">
        <v>118</v>
      </c>
      <c r="CP17" s="227" t="s">
        <v>300</v>
      </c>
      <c r="CQ17" s="227"/>
      <c r="CT17" s="227" t="s">
        <v>300</v>
      </c>
      <c r="CU17" s="227"/>
      <c r="CX17" s="227" t="s">
        <v>300</v>
      </c>
      <c r="CY17" s="227"/>
      <c r="DB17" s="227" t="s">
        <v>300</v>
      </c>
      <c r="DC17" s="227"/>
      <c r="DF17" s="227" t="s">
        <v>300</v>
      </c>
      <c r="DG17" s="227"/>
      <c r="DJ17" s="227" t="s">
        <v>300</v>
      </c>
      <c r="DK17" s="227"/>
      <c r="DN17" s="227" t="s">
        <v>300</v>
      </c>
      <c r="DO17" s="227"/>
      <c r="DR17" s="227" t="s">
        <v>300</v>
      </c>
      <c r="DS17" s="227"/>
      <c r="DV17" s="227" t="s">
        <v>300</v>
      </c>
      <c r="DW17" s="227"/>
      <c r="DZ17" s="227" t="s">
        <v>300</v>
      </c>
      <c r="EA17" s="227"/>
      <c r="ED17" s="227" t="s">
        <v>300</v>
      </c>
      <c r="EE17" s="227"/>
      <c r="EH17" s="227" t="s">
        <v>300</v>
      </c>
      <c r="EI17" s="227"/>
      <c r="EL17" s="227" t="s">
        <v>300</v>
      </c>
      <c r="EM17" s="227"/>
      <c r="EP17" s="227" t="s">
        <v>300</v>
      </c>
      <c r="EQ17" s="227"/>
      <c r="ET17" s="182"/>
      <c r="EU17" s="182"/>
      <c r="EX17" s="182"/>
      <c r="EY17" s="182"/>
      <c r="FB17" s="182"/>
      <c r="FC17" s="182"/>
      <c r="FF17" s="182"/>
      <c r="FG17" s="182"/>
      <c r="FJ17" s="182"/>
      <c r="FK17" s="182"/>
      <c r="FN17" s="182"/>
      <c r="FO17" s="182"/>
      <c r="FR17" s="182"/>
      <c r="FS17" s="182"/>
      <c r="FV17" s="182"/>
      <c r="FW17" s="182"/>
      <c r="FZ17" s="182"/>
      <c r="GA17" s="182"/>
      <c r="GD17" s="182"/>
      <c r="GE17" s="182"/>
      <c r="GH17" s="182"/>
      <c r="GI17" s="182"/>
      <c r="GL17" s="182"/>
      <c r="GM17" s="182"/>
      <c r="GP17" s="182"/>
      <c r="GQ17" s="182"/>
      <c r="GT17" s="182"/>
      <c r="GU17" s="182"/>
      <c r="GX17" s="182"/>
      <c r="GY17" s="182"/>
      <c r="HB17" s="182"/>
      <c r="HC17" s="182"/>
      <c r="HF17" s="182"/>
      <c r="HG17" s="182"/>
      <c r="HJ17" s="182"/>
      <c r="HK17" s="182"/>
      <c r="HN17" s="182"/>
      <c r="HO17" s="182"/>
      <c r="HR17" s="182"/>
      <c r="HS17" s="182"/>
      <c r="HV17" s="182"/>
      <c r="HW17" s="182"/>
      <c r="HZ17" s="182"/>
      <c r="IA17" s="182"/>
      <c r="ID17" s="182"/>
      <c r="IE17" s="182"/>
      <c r="IH17" s="182"/>
      <c r="II17" s="182"/>
      <c r="IL17" s="182"/>
      <c r="IM17" s="182"/>
      <c r="IP17" s="182"/>
      <c r="IQ17" s="182"/>
      <c r="IT17" s="182"/>
      <c r="IU17" s="182"/>
    </row>
    <row r="18" spans="1:255" ht="12">
      <c r="A18" s="182" t="s">
        <v>119</v>
      </c>
      <c r="CP18" s="227" t="s">
        <v>301</v>
      </c>
      <c r="CQ18" s="227"/>
      <c r="CT18" s="227" t="s">
        <v>301</v>
      </c>
      <c r="CU18" s="227"/>
      <c r="CX18" s="227" t="s">
        <v>301</v>
      </c>
      <c r="CY18" s="227"/>
      <c r="DB18" s="227" t="s">
        <v>301</v>
      </c>
      <c r="DC18" s="227"/>
      <c r="DF18" s="227" t="s">
        <v>301</v>
      </c>
      <c r="DG18" s="227"/>
      <c r="DJ18" s="227" t="s">
        <v>301</v>
      </c>
      <c r="DK18" s="227"/>
      <c r="DN18" s="227" t="s">
        <v>301</v>
      </c>
      <c r="DO18" s="227"/>
      <c r="DR18" s="227" t="s">
        <v>301</v>
      </c>
      <c r="DS18" s="227"/>
      <c r="DV18" s="227" t="s">
        <v>301</v>
      </c>
      <c r="DW18" s="227"/>
      <c r="DZ18" s="227" t="s">
        <v>301</v>
      </c>
      <c r="EA18" s="227"/>
      <c r="ED18" s="227" t="s">
        <v>301</v>
      </c>
      <c r="EE18" s="227"/>
      <c r="EH18" s="227" t="s">
        <v>301</v>
      </c>
      <c r="EI18" s="227"/>
      <c r="EL18" s="227" t="s">
        <v>301</v>
      </c>
      <c r="EM18" s="227"/>
      <c r="EP18" s="227" t="s">
        <v>301</v>
      </c>
      <c r="EQ18" s="227"/>
      <c r="ET18" s="182"/>
      <c r="EU18" s="182"/>
      <c r="EX18" s="182"/>
      <c r="EY18" s="182"/>
      <c r="FB18" s="182"/>
      <c r="FC18" s="182"/>
      <c r="FF18" s="182"/>
      <c r="FG18" s="182"/>
      <c r="FJ18" s="182">
        <v>34106.87</v>
      </c>
      <c r="FK18" s="182" t="s">
        <v>350</v>
      </c>
      <c r="FN18" s="182">
        <v>34106.87</v>
      </c>
      <c r="FO18" s="182" t="s">
        <v>350</v>
      </c>
      <c r="FR18" s="182">
        <v>34106.87</v>
      </c>
      <c r="FS18" s="182" t="s">
        <v>350</v>
      </c>
      <c r="FV18" s="182">
        <v>34106.87</v>
      </c>
      <c r="FW18" s="182" t="s">
        <v>350</v>
      </c>
      <c r="FZ18" s="182">
        <v>34106.87</v>
      </c>
      <c r="GA18" s="182" t="s">
        <v>350</v>
      </c>
      <c r="GD18" s="182">
        <v>34106.87</v>
      </c>
      <c r="GE18" s="182" t="s">
        <v>350</v>
      </c>
      <c r="GH18" s="182">
        <v>34106.87</v>
      </c>
      <c r="GI18" s="182" t="s">
        <v>350</v>
      </c>
      <c r="GL18" s="182">
        <v>34106.87</v>
      </c>
      <c r="GM18" s="182" t="s">
        <v>350</v>
      </c>
      <c r="GP18" s="182">
        <v>34106.87</v>
      </c>
      <c r="GQ18" s="182" t="s">
        <v>350</v>
      </c>
      <c r="GT18" s="249">
        <f>GT6</f>
        <v>-16303.92</v>
      </c>
      <c r="GU18" s="182" t="s">
        <v>350</v>
      </c>
      <c r="GX18" s="249">
        <f>GT18+GX6</f>
        <v>-30277.33</v>
      </c>
      <c r="GY18" s="182" t="s">
        <v>350</v>
      </c>
      <c r="HB18" s="249">
        <f>GX18+HB6</f>
        <v>-30277.33</v>
      </c>
      <c r="HC18" s="182" t="s">
        <v>350</v>
      </c>
      <c r="HF18" s="249">
        <f>HB18+HF6</f>
        <v>-37385.04</v>
      </c>
      <c r="HG18" s="182" t="s">
        <v>350</v>
      </c>
      <c r="HJ18" s="249">
        <f>HF18+HJ6</f>
        <v>-45985.04</v>
      </c>
      <c r="HK18" s="182" t="s">
        <v>350</v>
      </c>
      <c r="HN18" s="249">
        <f>HJ18+HN6</f>
        <v>-207513</v>
      </c>
      <c r="HO18" s="182" t="s">
        <v>350</v>
      </c>
      <c r="HR18" s="249">
        <f>HN18+HR6</f>
        <v>-235493.04</v>
      </c>
      <c r="HS18" s="182" t="s">
        <v>350</v>
      </c>
      <c r="HU18" s="173" t="s">
        <v>411</v>
      </c>
      <c r="HV18" s="249">
        <f>HR18+HV6</f>
        <v>-484791.42000000004</v>
      </c>
      <c r="HW18" s="182" t="s">
        <v>350</v>
      </c>
      <c r="HY18" s="173" t="s">
        <v>411</v>
      </c>
      <c r="HZ18" s="249">
        <f>HV18+HZ6</f>
        <v>-484791.42000000004</v>
      </c>
      <c r="IA18" s="182" t="s">
        <v>350</v>
      </c>
      <c r="IC18" s="173" t="s">
        <v>411</v>
      </c>
      <c r="ID18" s="249">
        <f>HZ18+ID6</f>
        <v>-486027.82000000007</v>
      </c>
      <c r="IE18" s="182" t="s">
        <v>350</v>
      </c>
      <c r="IG18" s="173" t="s">
        <v>411</v>
      </c>
      <c r="IH18" s="249">
        <f>ID18+IH6</f>
        <v>-688861.03</v>
      </c>
      <c r="II18" s="182" t="s">
        <v>350</v>
      </c>
      <c r="IK18" s="173" t="s">
        <v>411</v>
      </c>
      <c r="IL18" s="249">
        <f>IL6</f>
        <v>0</v>
      </c>
      <c r="IM18" s="182" t="s">
        <v>350</v>
      </c>
      <c r="IO18" s="173" t="s">
        <v>411</v>
      </c>
      <c r="IP18" s="249">
        <f>IL18+IP6</f>
        <v>0</v>
      </c>
      <c r="IQ18" s="182" t="s">
        <v>350</v>
      </c>
      <c r="IS18" s="173" t="s">
        <v>411</v>
      </c>
      <c r="IT18" s="249">
        <f>IP18+IT6</f>
        <v>-1736.84</v>
      </c>
      <c r="IU18" s="182" t="s">
        <v>350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3"/>
  <headerFooter>
    <oddHeader>&amp;C&amp;A</oddHeader>
    <oddFooter>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D24" sqref="D24"/>
    </sheetView>
  </sheetViews>
  <sheetFormatPr defaultColWidth="9.140625" defaultRowHeight="12.75"/>
  <cols>
    <col min="1" max="1" width="18.7109375" style="0" customWidth="1"/>
    <col min="2" max="2" width="16.57421875" style="0" customWidth="1"/>
    <col min="3" max="3" width="13.57421875" style="0" customWidth="1"/>
    <col min="4" max="4" width="17.7109375" style="0" customWidth="1"/>
    <col min="6" max="6" width="10.28125" style="0" bestFit="1" customWidth="1"/>
  </cols>
  <sheetData>
    <row r="1" spans="1:4" ht="15">
      <c r="A1" s="187"/>
      <c r="B1" s="188" t="s">
        <v>239</v>
      </c>
      <c r="C1" s="188"/>
      <c r="D1" s="187"/>
    </row>
    <row r="3" spans="1:4" ht="15.75" thickBot="1">
      <c r="A3" s="187"/>
      <c r="B3" s="187"/>
      <c r="C3" s="187"/>
      <c r="D3" s="187"/>
    </row>
    <row r="4" spans="1:4" ht="30.75" thickBot="1">
      <c r="A4" s="194" t="s">
        <v>4</v>
      </c>
      <c r="B4" s="194" t="s">
        <v>240</v>
      </c>
      <c r="C4" s="194" t="s">
        <v>241</v>
      </c>
      <c r="D4" s="195">
        <v>330452.03</v>
      </c>
    </row>
    <row r="5" spans="1:4" ht="15">
      <c r="A5" s="187" t="s">
        <v>242</v>
      </c>
      <c r="B5" s="187" t="s">
        <v>243</v>
      </c>
      <c r="C5" s="189">
        <v>0.1134</v>
      </c>
      <c r="D5" s="193">
        <v>37473.260202000005</v>
      </c>
    </row>
    <row r="6" spans="1:4" ht="15">
      <c r="A6" s="188" t="s">
        <v>4</v>
      </c>
      <c r="B6" s="188" t="s">
        <v>3</v>
      </c>
      <c r="C6" s="188"/>
      <c r="D6" s="191">
        <v>367925.29020200006</v>
      </c>
    </row>
    <row r="7" spans="1:4" ht="15">
      <c r="A7" s="187" t="s">
        <v>242</v>
      </c>
      <c r="B7" s="187" t="s">
        <v>244</v>
      </c>
      <c r="C7" s="189">
        <v>0.1162</v>
      </c>
      <c r="D7" s="193">
        <v>42752.91872147241</v>
      </c>
    </row>
    <row r="8" spans="1:4" ht="15">
      <c r="A8" s="188" t="s">
        <v>4</v>
      </c>
      <c r="B8" s="188" t="s">
        <v>45</v>
      </c>
      <c r="C8" s="188"/>
      <c r="D8" s="191">
        <v>410678.20892347244</v>
      </c>
    </row>
    <row r="9" spans="1:4" ht="15">
      <c r="A9" s="187" t="s">
        <v>242</v>
      </c>
      <c r="B9" s="187" t="s">
        <v>245</v>
      </c>
      <c r="C9" s="190">
        <v>0.11</v>
      </c>
      <c r="D9" s="193">
        <v>45174.60298158197</v>
      </c>
    </row>
    <row r="10" spans="1:4" ht="15">
      <c r="A10" s="188" t="s">
        <v>4</v>
      </c>
      <c r="B10" s="188" t="s">
        <v>43</v>
      </c>
      <c r="C10" s="192"/>
      <c r="D10" s="191">
        <v>455852.81190505443</v>
      </c>
    </row>
    <row r="11" spans="1:4" ht="15">
      <c r="A11" s="187" t="s">
        <v>242</v>
      </c>
      <c r="B11" s="187" t="s">
        <v>246</v>
      </c>
      <c r="C11" s="189">
        <v>0.1368</v>
      </c>
      <c r="D11" s="193">
        <v>62360.66466861145</v>
      </c>
    </row>
    <row r="12" spans="1:4" ht="15">
      <c r="A12" s="188" t="s">
        <v>4</v>
      </c>
      <c r="B12" s="188" t="s">
        <v>193</v>
      </c>
      <c r="C12" s="188"/>
      <c r="D12" s="191">
        <v>518213.47657366586</v>
      </c>
    </row>
    <row r="13" spans="1:4" ht="15">
      <c r="A13" s="187" t="s">
        <v>242</v>
      </c>
      <c r="B13" s="187" t="s">
        <v>247</v>
      </c>
      <c r="C13" s="189">
        <v>0.1229</v>
      </c>
      <c r="D13" s="193">
        <v>63688.436270903534</v>
      </c>
    </row>
    <row r="14" spans="1:4" ht="15">
      <c r="A14" s="188" t="s">
        <v>4</v>
      </c>
      <c r="B14" s="188" t="s">
        <v>194</v>
      </c>
      <c r="C14" s="188"/>
      <c r="D14" s="191">
        <v>581901.9128445694</v>
      </c>
    </row>
    <row r="15" spans="1:4" ht="15">
      <c r="A15" s="187" t="s">
        <v>242</v>
      </c>
      <c r="B15" s="187" t="s">
        <v>248</v>
      </c>
      <c r="C15" s="189">
        <v>0.1338</v>
      </c>
      <c r="D15" s="193">
        <v>77858.47593860338</v>
      </c>
    </row>
    <row r="16" spans="1:4" ht="15">
      <c r="A16" s="188" t="s">
        <v>4</v>
      </c>
      <c r="B16" s="188" t="s">
        <v>249</v>
      </c>
      <c r="C16" s="188"/>
      <c r="D16" s="191">
        <v>659760.3887831728</v>
      </c>
    </row>
    <row r="17" spans="1:4" ht="15">
      <c r="A17" s="187" t="s">
        <v>242</v>
      </c>
      <c r="B17" s="187" t="s">
        <v>250</v>
      </c>
      <c r="C17" s="189">
        <v>0.0872</v>
      </c>
      <c r="D17" s="193">
        <v>57531.10590189267</v>
      </c>
    </row>
    <row r="18" spans="1:6" ht="15">
      <c r="A18" s="188" t="s">
        <v>4</v>
      </c>
      <c r="B18" s="188" t="s">
        <v>251</v>
      </c>
      <c r="C18" s="188"/>
      <c r="D18" s="191">
        <v>717291.4946850655</v>
      </c>
      <c r="F18" s="216">
        <f>D18*C19</f>
        <v>43324.40627897796</v>
      </c>
    </row>
    <row r="19" spans="1:4" ht="15">
      <c r="A19" s="187" t="s">
        <v>242</v>
      </c>
      <c r="B19" s="187" t="s">
        <v>252</v>
      </c>
      <c r="C19" s="190">
        <v>0.0604</v>
      </c>
      <c r="D19" s="193">
        <v>43324.40627897796</v>
      </c>
    </row>
    <row r="20" spans="1:4" ht="15">
      <c r="A20" s="188" t="s">
        <v>4</v>
      </c>
      <c r="B20" s="188" t="s">
        <v>253</v>
      </c>
      <c r="C20" s="188"/>
      <c r="D20" s="191">
        <v>760615.9009640435</v>
      </c>
    </row>
    <row r="21" spans="1:4" ht="15">
      <c r="A21" s="187" t="s">
        <v>242</v>
      </c>
      <c r="B21" s="187" t="s">
        <v>252</v>
      </c>
      <c r="C21" s="190">
        <v>0.067</v>
      </c>
      <c r="D21" s="193">
        <f>D20*C21</f>
        <v>50961.265364590916</v>
      </c>
    </row>
    <row r="22" spans="1:4" ht="15">
      <c r="A22" s="188" t="s">
        <v>4</v>
      </c>
      <c r="B22" s="188" t="s">
        <v>279</v>
      </c>
      <c r="C22" s="188"/>
      <c r="D22" s="191">
        <f>SUM(D20:D21)</f>
        <v>811577.1663286344</v>
      </c>
    </row>
    <row r="23" spans="1:4" ht="15">
      <c r="A23" s="188" t="s">
        <v>321</v>
      </c>
      <c r="B23" s="188"/>
      <c r="C23" s="188"/>
      <c r="D23" s="233">
        <v>-247210.53</v>
      </c>
    </row>
    <row r="24" spans="1:4" ht="15">
      <c r="A24" s="188" t="s">
        <v>322</v>
      </c>
      <c r="B24" s="188"/>
      <c r="C24" s="188"/>
      <c r="D24" s="233">
        <v>-482803.08</v>
      </c>
    </row>
    <row r="25" spans="1:4" ht="15">
      <c r="A25" s="188"/>
      <c r="B25" s="188"/>
      <c r="C25" s="188"/>
      <c r="D25" s="191">
        <f>SUM(D22:D24)</f>
        <v>81563.55632863432</v>
      </c>
    </row>
    <row r="26" spans="1:4" ht="15">
      <c r="A26" s="187" t="s">
        <v>242</v>
      </c>
      <c r="B26" s="187" t="s">
        <v>286</v>
      </c>
      <c r="C26" s="190">
        <v>0.067</v>
      </c>
      <c r="D26" s="193">
        <f>D25*C26</f>
        <v>5464.7582740185</v>
      </c>
    </row>
    <row r="27" spans="1:4" ht="15">
      <c r="A27" s="188" t="s">
        <v>4</v>
      </c>
      <c r="B27" s="188" t="s">
        <v>287</v>
      </c>
      <c r="C27" s="188"/>
      <c r="D27" s="191">
        <f>SUM(D25:D26)</f>
        <v>87028.31460265283</v>
      </c>
    </row>
    <row r="28" spans="1:4" ht="12.75">
      <c r="A28" t="s">
        <v>242</v>
      </c>
      <c r="B28" s="39" t="s">
        <v>308</v>
      </c>
      <c r="C28" s="232">
        <v>0.0451</v>
      </c>
      <c r="D28" s="216">
        <f>D27*C28</f>
        <v>3924.9769885796427</v>
      </c>
    </row>
    <row r="29" spans="1:4" ht="15">
      <c r="A29" s="188" t="s">
        <v>4</v>
      </c>
      <c r="B29" s="188" t="s">
        <v>310</v>
      </c>
      <c r="C29" s="188"/>
      <c r="D29" s="191">
        <f>SUM(D27:D28)</f>
        <v>90953.29159123247</v>
      </c>
    </row>
    <row r="30" spans="1:4" ht="12.75">
      <c r="A30" t="s">
        <v>242</v>
      </c>
      <c r="B30" s="39" t="s">
        <v>433</v>
      </c>
      <c r="C30" s="232">
        <v>0.0763</v>
      </c>
      <c r="D30" s="284">
        <f>D29*C30</f>
        <v>6939.736148411038</v>
      </c>
    </row>
    <row r="31" ht="12.75">
      <c r="D31" s="285">
        <f>SUM(D29:D30)</f>
        <v>97893.02773964351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Breede Valley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sroets</dc:creator>
  <cp:keywords/>
  <dc:description/>
  <cp:lastModifiedBy>Rene Cahill</cp:lastModifiedBy>
  <cp:lastPrinted>2020-02-11T14:40:53Z</cp:lastPrinted>
  <dcterms:created xsi:type="dcterms:W3CDTF">2004-12-03T07:30:52Z</dcterms:created>
  <dcterms:modified xsi:type="dcterms:W3CDTF">2020-02-11T14:42:54Z</dcterms:modified>
  <cp:category/>
  <cp:version/>
  <cp:contentType/>
  <cp:contentStatus/>
</cp:coreProperties>
</file>