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defaultThemeVersion="124226"/>
  <mc:AlternateContent xmlns:mc="http://schemas.openxmlformats.org/markup-compatibility/2006">
    <mc:Choice Requires="x15">
      <x15ac:absPath xmlns:x15ac="http://schemas.microsoft.com/office/spreadsheetml/2010/11/ac" url="C:\Users\jpetro\Desktop\"/>
    </mc:Choice>
  </mc:AlternateContent>
  <xr:revisionPtr revIDLastSave="0" documentId="13_ncr:1_{1471EB6F-F3DE-4783-99E6-441B0EE1A94D}" xr6:coauthVersionLast="43" xr6:coauthVersionMax="43" xr10:uidLastSave="{00000000-0000-0000-0000-000000000000}"/>
  <workbookProtection workbookAlgorithmName="SHA-512" workbookHashValue="/EP6Yu4JxxjHvirAwMyHIVr9wMoeeyoXP1hLbzqA1b3QjIF1rr8EQEuzsZLyzU0A+ooGz0NLnBGRQLcWBOUULA==" workbookSaltValue="/94/xa7Dgk+snC19W2xxjQ==" workbookSpinCount="100000" lockStructure="1"/>
  <bookViews>
    <workbookView xWindow="-120" yWindow="-120" windowWidth="24240" windowHeight="13140" tabRatio="882" xr2:uid="{00000000-000D-0000-FFFF-FFFF00000000}"/>
  </bookViews>
  <sheets>
    <sheet name="START" sheetId="328" r:id="rId1"/>
    <sheet name="Instructions" sheetId="329" r:id="rId2"/>
    <sheet name="Template names" sheetId="100" state="veryHidden" r:id="rId3"/>
    <sheet name="Lookup and lists" sheetId="322" state="veryHidden" r:id="rId4"/>
    <sheet name="Org structure" sheetId="332" r:id="rId5"/>
    <sheet name="Contacts" sheetId="331" r:id="rId6"/>
    <sheet name="C1-Sum" sheetId="267" r:id="rId7"/>
    <sheet name="C2-FinPerf SC" sheetId="241" r:id="rId8"/>
    <sheet name="C2C" sheetId="330" r:id="rId9"/>
    <sheet name="C3-FinPerf V" sheetId="272" r:id="rId10"/>
    <sheet name="C3C" sheetId="323" r:id="rId11"/>
    <sheet name="C4-FinPerf RE" sheetId="182" r:id="rId12"/>
    <sheet name="C5-Capex" sheetId="268" r:id="rId13"/>
    <sheet name="C5C" sheetId="324" r:id="rId14"/>
    <sheet name="C6-FinPos" sheetId="178" r:id="rId15"/>
    <sheet name="C7-CFlow" sheetId="177" r:id="rId16"/>
    <sheet name="SC1" sheetId="251" r:id="rId17"/>
    <sheet name="SC2" sheetId="174" r:id="rId18"/>
    <sheet name="SC3" sheetId="175" r:id="rId19"/>
    <sheet name="SC4" sheetId="173" r:id="rId20"/>
    <sheet name="SC5" sheetId="238" r:id="rId21"/>
    <sheet name="SC6" sheetId="270" r:id="rId22"/>
    <sheet name="SC7(1)" sheetId="269" r:id="rId23"/>
    <sheet name="SC7(2)" sheetId="334" r:id="rId24"/>
    <sheet name="SC8" sheetId="318" r:id="rId25"/>
    <sheet name="SC9" sheetId="317" r:id="rId26"/>
    <sheet name="SC10" sheetId="181" r:id="rId27"/>
    <sheet name="SC11" sheetId="183" r:id="rId28"/>
    <sheet name="SC12" sheetId="180" r:id="rId29"/>
    <sheet name="SC13a" sheetId="242" r:id="rId30"/>
    <sheet name="SC13b" sheetId="326" r:id="rId31"/>
    <sheet name="SC13c" sheetId="325" r:id="rId32"/>
    <sheet name="SC13d" sheetId="333" r:id="rId33"/>
    <sheet name="SC13e" sheetId="335" r:id="rId34"/>
    <sheet name="SC71charts" sheetId="172" r:id="rId35"/>
  </sheets>
  <externalReferences>
    <externalReference r:id="rId36"/>
    <externalReference r:id="rId37"/>
    <externalReference r:id="rId38"/>
    <externalReference r:id="rId39"/>
    <externalReference r:id="rId40"/>
    <externalReference r:id="rId41"/>
    <externalReference r:id="rId42"/>
  </externalReferences>
  <definedNames>
    <definedName name="_ADJ1" localSheetId="4">'[1]Template names'!#REF!</definedName>
    <definedName name="_ADJ1" localSheetId="32">'Template names'!#REF!</definedName>
    <definedName name="_ADJ1" localSheetId="33">'Template names'!#REF!</definedName>
    <definedName name="_ADJ1" localSheetId="23">'Template names'!#REF!</definedName>
    <definedName name="_ADJ1">'Template names'!#REF!</definedName>
    <definedName name="_ADJ10" localSheetId="1">'Template names'!#REF!</definedName>
    <definedName name="_ADJ10" localSheetId="32">'[1]Template names'!#REF!</definedName>
    <definedName name="_ADJ10" localSheetId="33">'[1]Template names'!#REF!</definedName>
    <definedName name="_ADJ10" localSheetId="23">'[1]Template names'!#REF!</definedName>
    <definedName name="_ADJ10">'[1]Template names'!#REF!</definedName>
    <definedName name="_ADJ11" localSheetId="4">'[1]Template names'!#REF!</definedName>
    <definedName name="_ADJ11" localSheetId="32">'Template names'!#REF!</definedName>
    <definedName name="_ADJ11" localSheetId="33">'Template names'!#REF!</definedName>
    <definedName name="_ADJ11" localSheetId="23">'Template names'!#REF!</definedName>
    <definedName name="_ADJ11">'Template names'!#REF!</definedName>
    <definedName name="_ADJ12" localSheetId="4">'[1]Template names'!#REF!</definedName>
    <definedName name="_ADJ12" localSheetId="32">'Template names'!#REF!</definedName>
    <definedName name="_ADJ12" localSheetId="33">'Template names'!#REF!</definedName>
    <definedName name="_ADJ12" localSheetId="23">'Template names'!#REF!</definedName>
    <definedName name="_ADJ12">'Template names'!#REF!</definedName>
    <definedName name="_ADJ13" localSheetId="4">'[1]Template names'!#REF!</definedName>
    <definedName name="_ADJ13" localSheetId="32">'Template names'!#REF!</definedName>
    <definedName name="_ADJ13" localSheetId="33">'Template names'!#REF!</definedName>
    <definedName name="_ADJ13" localSheetId="23">'Template names'!#REF!</definedName>
    <definedName name="_ADJ13">'Template names'!#REF!</definedName>
    <definedName name="_ADJ14" localSheetId="4">'[1]Template names'!#REF!</definedName>
    <definedName name="_ADJ14" localSheetId="32">'Template names'!#REF!</definedName>
    <definedName name="_ADJ14" localSheetId="33">'Template names'!#REF!</definedName>
    <definedName name="_ADJ14" localSheetId="23">'Template names'!#REF!</definedName>
    <definedName name="_ADJ14">'Template names'!#REF!</definedName>
    <definedName name="_ADJ16" localSheetId="4">'[1]Template names'!#REF!</definedName>
    <definedName name="_ADJ16" localSheetId="32">'Template names'!#REF!</definedName>
    <definedName name="_ADJ16" localSheetId="33">'Template names'!#REF!</definedName>
    <definedName name="_ADJ16" localSheetId="23">'Template names'!#REF!</definedName>
    <definedName name="_ADJ16">'Template names'!#REF!</definedName>
    <definedName name="_ADJ17" localSheetId="4">'[1]Template names'!#REF!</definedName>
    <definedName name="_ADJ17" localSheetId="32">'Template names'!#REF!</definedName>
    <definedName name="_ADJ17" localSheetId="33">'Template names'!#REF!</definedName>
    <definedName name="_ADJ17" localSheetId="23">'Template names'!#REF!</definedName>
    <definedName name="_ADJ17">'Template names'!#REF!</definedName>
    <definedName name="_ADJ18" localSheetId="4">'[1]Template names'!#REF!</definedName>
    <definedName name="_ADJ18" localSheetId="32">'Template names'!#REF!</definedName>
    <definedName name="_ADJ18" localSheetId="33">'Template names'!#REF!</definedName>
    <definedName name="_ADJ18" localSheetId="23">'Template names'!#REF!</definedName>
    <definedName name="_ADJ18">'Template names'!#REF!</definedName>
    <definedName name="_ADJ19" localSheetId="4">'[1]Template names'!#REF!</definedName>
    <definedName name="_ADJ19" localSheetId="32">'Template names'!#REF!</definedName>
    <definedName name="_ADJ19" localSheetId="33">'Template names'!#REF!</definedName>
    <definedName name="_ADJ19" localSheetId="23">'Template names'!#REF!</definedName>
    <definedName name="_ADJ19">'Template names'!#REF!</definedName>
    <definedName name="_ADJ2" localSheetId="1">'Template names'!#REF!</definedName>
    <definedName name="_ADJ2" localSheetId="32">'[1]Template names'!#REF!</definedName>
    <definedName name="_ADJ2" localSheetId="33">'[1]Template names'!#REF!</definedName>
    <definedName name="_ADJ2" localSheetId="23">'[1]Template names'!#REF!</definedName>
    <definedName name="_ADJ2">'[1]Template names'!#REF!</definedName>
    <definedName name="_ADJ3" localSheetId="1">'Template names'!#REF!</definedName>
    <definedName name="_ADJ3" localSheetId="32">'[1]Template names'!#REF!</definedName>
    <definedName name="_ADJ3" localSheetId="33">'[1]Template names'!#REF!</definedName>
    <definedName name="_ADJ3" localSheetId="23">'[1]Template names'!#REF!</definedName>
    <definedName name="_ADJ3">'[1]Template names'!#REF!</definedName>
    <definedName name="_ADJ4" localSheetId="1">'Template names'!#REF!</definedName>
    <definedName name="_ADJ4" localSheetId="32">'[1]Template names'!#REF!</definedName>
    <definedName name="_ADJ4" localSheetId="33">'[1]Template names'!#REF!</definedName>
    <definedName name="_ADJ4" localSheetId="23">'[1]Template names'!#REF!</definedName>
    <definedName name="_ADJ4">'[1]Template names'!#REF!</definedName>
    <definedName name="_ADJ5" localSheetId="1">'Template names'!#REF!</definedName>
    <definedName name="_ADJ5" localSheetId="32">'[1]Template names'!#REF!</definedName>
    <definedName name="_ADJ5" localSheetId="33">'[1]Template names'!#REF!</definedName>
    <definedName name="_ADJ5" localSheetId="23">'[1]Template names'!#REF!</definedName>
    <definedName name="_ADJ5">'[1]Template names'!#REF!</definedName>
    <definedName name="_ADJ6" localSheetId="1">'Template names'!#REF!</definedName>
    <definedName name="_ADJ6" localSheetId="32">'[1]Template names'!#REF!</definedName>
    <definedName name="_ADJ6" localSheetId="33">'[1]Template names'!#REF!</definedName>
    <definedName name="_ADJ6" localSheetId="23">'[1]Template names'!#REF!</definedName>
    <definedName name="_ADJ6">'[1]Template names'!#REF!</definedName>
    <definedName name="_ADJ7" localSheetId="1">'Template names'!#REF!</definedName>
    <definedName name="_ADJ7" localSheetId="32">'[1]Template names'!#REF!</definedName>
    <definedName name="_ADJ7" localSheetId="33">'[1]Template names'!#REF!</definedName>
    <definedName name="_ADJ7" localSheetId="23">'[1]Template names'!#REF!</definedName>
    <definedName name="_ADJ7">'[1]Template names'!#REF!</definedName>
    <definedName name="_ADJ8" localSheetId="1">'Template names'!#REF!</definedName>
    <definedName name="_ADJ8" localSheetId="32">'[1]Template names'!#REF!</definedName>
    <definedName name="_ADJ8" localSheetId="33">'[1]Template names'!#REF!</definedName>
    <definedName name="_ADJ8" localSheetId="23">'[1]Template names'!#REF!</definedName>
    <definedName name="_ADJ8">'[1]Template names'!#REF!</definedName>
    <definedName name="_ADJ9" localSheetId="1">'Template names'!#REF!</definedName>
    <definedName name="_ADJ9" localSheetId="32">'[1]Template names'!#REF!</definedName>
    <definedName name="_ADJ9" localSheetId="33">'[1]Template names'!#REF!</definedName>
    <definedName name="_ADJ9" localSheetId="23">'[1]Template names'!#REF!</definedName>
    <definedName name="_ADJ9">'[1]Template names'!#REF!</definedName>
    <definedName name="_ccf04" localSheetId="32">#REF!</definedName>
    <definedName name="_ccf04" localSheetId="33">#REF!</definedName>
    <definedName name="_ccf04" localSheetId="23">#REF!</definedName>
    <definedName name="_ccf04">#REF!</definedName>
    <definedName name="_ccf05" localSheetId="32">#REF!</definedName>
    <definedName name="_ccf05" localSheetId="33">#REF!</definedName>
    <definedName name="_ccf05" localSheetId="23">#REF!</definedName>
    <definedName name="_ccf05">#REF!</definedName>
    <definedName name="_ccf06" localSheetId="33">#REF!</definedName>
    <definedName name="_ccf06">#REF!</definedName>
    <definedName name="_ccf07" localSheetId="33">#REF!</definedName>
    <definedName name="_ccf07">#REF!</definedName>
    <definedName name="_ccf08" localSheetId="33">#REF!</definedName>
    <definedName name="_ccf08">#REF!</definedName>
    <definedName name="_ccf09" localSheetId="33">#REF!</definedName>
    <definedName name="_ccf09">#REF!</definedName>
    <definedName name="_ccf10" localSheetId="33">#REF!</definedName>
    <definedName name="_ccf10">#REF!</definedName>
    <definedName name="_ccf11" localSheetId="33">#REF!</definedName>
    <definedName name="_ccf11">#REF!</definedName>
    <definedName name="_ccf12" localSheetId="33">#REF!</definedName>
    <definedName name="_ccf12">#REF!</definedName>
    <definedName name="_ccf13" localSheetId="33">#REF!</definedName>
    <definedName name="_ccf13">#REF!</definedName>
    <definedName name="_cpi1">'[2]Balance Sheet'!$D$50</definedName>
    <definedName name="_cpi2">'[2]Balance Sheet'!$E$50</definedName>
    <definedName name="_cpi3">'[2]Balance Sheet'!$F$50</definedName>
    <definedName name="_ecf04" localSheetId="32">#REF!</definedName>
    <definedName name="_ecf04" localSheetId="33">#REF!</definedName>
    <definedName name="_ecf04" localSheetId="23">#REF!</definedName>
    <definedName name="_ecf04">#REF!</definedName>
    <definedName name="_ecf05" localSheetId="32">#REF!</definedName>
    <definedName name="_ecf05" localSheetId="33">#REF!</definedName>
    <definedName name="_ecf05" localSheetId="23">#REF!</definedName>
    <definedName name="_ecf05">#REF!</definedName>
    <definedName name="_ecf06" localSheetId="33">#REF!</definedName>
    <definedName name="_ecf06">#REF!</definedName>
    <definedName name="_ecf07" localSheetId="33">#REF!</definedName>
    <definedName name="_ecf07">#REF!</definedName>
    <definedName name="_ecf08" localSheetId="33">#REF!</definedName>
    <definedName name="_ecf08">#REF!</definedName>
    <definedName name="_ecf09" localSheetId="33">#REF!</definedName>
    <definedName name="_ecf09">#REF!</definedName>
    <definedName name="_ecf10" localSheetId="33">#REF!</definedName>
    <definedName name="_ecf10">#REF!</definedName>
    <definedName name="_ecf11" localSheetId="33">#REF!</definedName>
    <definedName name="_ecf11">#REF!</definedName>
    <definedName name="_ecf12" localSheetId="33">#REF!</definedName>
    <definedName name="_ecf12">#REF!</definedName>
    <definedName name="_ecf13" localSheetId="33">#REF!</definedName>
    <definedName name="_ecf13">#REF!</definedName>
    <definedName name="_emp04" localSheetId="32">#REF!</definedName>
    <definedName name="_emp04" localSheetId="33">#REF!</definedName>
    <definedName name="_emp04" localSheetId="23">#REF!</definedName>
    <definedName name="_emp04">#REF!</definedName>
    <definedName name="_emp05" localSheetId="32">#REF!</definedName>
    <definedName name="_emp05" localSheetId="33">#REF!</definedName>
    <definedName name="_emp05" localSheetId="23">#REF!</definedName>
    <definedName name="_emp05">#REF!</definedName>
    <definedName name="_emp06" localSheetId="33">#REF!</definedName>
    <definedName name="_emp06">#REF!</definedName>
    <definedName name="_emp07" localSheetId="33">#REF!</definedName>
    <definedName name="_emp07">#REF!</definedName>
    <definedName name="_emp08" localSheetId="33">#REF!</definedName>
    <definedName name="_emp08">#REF!</definedName>
    <definedName name="_emp09" localSheetId="33">#REF!</definedName>
    <definedName name="_emp09">#REF!</definedName>
    <definedName name="_emp10" localSheetId="33">#REF!</definedName>
    <definedName name="_emp10">#REF!</definedName>
    <definedName name="_emp11" localSheetId="33">#REF!</definedName>
    <definedName name="_emp11">#REF!</definedName>
    <definedName name="_emp12" localSheetId="33">#REF!</definedName>
    <definedName name="_emp12">#REF!</definedName>
    <definedName name="_emp13" localSheetId="33">#REF!</definedName>
    <definedName name="_emp13">#REF!</definedName>
    <definedName name="_emp14" localSheetId="33">#REF!</definedName>
    <definedName name="_emp14">#REF!</definedName>
    <definedName name="_emp15" localSheetId="33">#REF!</definedName>
    <definedName name="_emp15">#REF!</definedName>
    <definedName name="_emp16" localSheetId="33">#REF!</definedName>
    <definedName name="_emp16">#REF!</definedName>
    <definedName name="_emp17" localSheetId="33">#REF!</definedName>
    <definedName name="_emp17">#REF!</definedName>
    <definedName name="_emp18" localSheetId="33">#REF!</definedName>
    <definedName name="_emp18">#REF!</definedName>
    <definedName name="_emp19" localSheetId="33">#REF!</definedName>
    <definedName name="_emp19">#REF!</definedName>
    <definedName name="_emp20" localSheetId="33">#REF!</definedName>
    <definedName name="_emp20">#REF!</definedName>
    <definedName name="_emp21" localSheetId="33">#REF!</definedName>
    <definedName name="_emp21">#REF!</definedName>
    <definedName name="_xlnm._FilterDatabase" localSheetId="4" hidden="1">'Org structure'!$A$1:$D$166</definedName>
    <definedName name="_inf1" localSheetId="32">#REF!</definedName>
    <definedName name="_inf1" localSheetId="33">#REF!</definedName>
    <definedName name="_inf1" localSheetId="23">#REF!</definedName>
    <definedName name="_inf1">#REF!</definedName>
    <definedName name="_inf2" localSheetId="32">#REF!</definedName>
    <definedName name="_inf2" localSheetId="33">#REF!</definedName>
    <definedName name="_inf2" localSheetId="23">#REF!</definedName>
    <definedName name="_inf2">#REF!</definedName>
    <definedName name="_inf3" localSheetId="32">#REF!</definedName>
    <definedName name="_inf3" localSheetId="33">#REF!</definedName>
    <definedName name="_inf3" localSheetId="23">#REF!</definedName>
    <definedName name="_inf3">#REF!</definedName>
    <definedName name="_int04" localSheetId="32">#REF!</definedName>
    <definedName name="_int04" localSheetId="33">#REF!</definedName>
    <definedName name="_int04" localSheetId="23">#REF!</definedName>
    <definedName name="_int04">#REF!</definedName>
    <definedName name="_int05" localSheetId="32">#REF!</definedName>
    <definedName name="_int05" localSheetId="33">#REF!</definedName>
    <definedName name="_int05" localSheetId="23">#REF!</definedName>
    <definedName name="_int05">#REF!</definedName>
    <definedName name="_int06" localSheetId="33">#REF!</definedName>
    <definedName name="_int06">#REF!</definedName>
    <definedName name="_int07" localSheetId="33">#REF!</definedName>
    <definedName name="_int07">#REF!</definedName>
    <definedName name="_int08" localSheetId="33">#REF!</definedName>
    <definedName name="_int08">#REF!</definedName>
    <definedName name="_int09" localSheetId="33">#REF!</definedName>
    <definedName name="_int09">#REF!</definedName>
    <definedName name="_int10" localSheetId="33">#REF!</definedName>
    <definedName name="_int10">#REF!</definedName>
    <definedName name="_int11" localSheetId="33">#REF!</definedName>
    <definedName name="_int11">#REF!</definedName>
    <definedName name="_int12" localSheetId="33">#REF!</definedName>
    <definedName name="_int12">#REF!</definedName>
    <definedName name="_int13" localSheetId="33">#REF!</definedName>
    <definedName name="_int13">#REF!</definedName>
    <definedName name="_int14" localSheetId="33">#REF!</definedName>
    <definedName name="_int14">#REF!</definedName>
    <definedName name="_int15" localSheetId="33">#REF!</definedName>
    <definedName name="_int15">#REF!</definedName>
    <definedName name="_int16" localSheetId="33">#REF!</definedName>
    <definedName name="_int16">#REF!</definedName>
    <definedName name="_int17" localSheetId="33">#REF!</definedName>
    <definedName name="_int17">#REF!</definedName>
    <definedName name="_int18" localSheetId="33">#REF!</definedName>
    <definedName name="_int18">#REF!</definedName>
    <definedName name="_int19" localSheetId="33">#REF!</definedName>
    <definedName name="_int19">#REF!</definedName>
    <definedName name="_int20" localSheetId="33">#REF!</definedName>
    <definedName name="_int20">#REF!</definedName>
    <definedName name="_inv04" localSheetId="32">#REF!</definedName>
    <definedName name="_inv04" localSheetId="33">#REF!</definedName>
    <definedName name="_inv04" localSheetId="23">#REF!</definedName>
    <definedName name="_inv04">#REF!</definedName>
    <definedName name="_inv05" localSheetId="32">#REF!</definedName>
    <definedName name="_inv05" localSheetId="33">#REF!</definedName>
    <definedName name="_inv05" localSheetId="23">#REF!</definedName>
    <definedName name="_inv05">#REF!</definedName>
    <definedName name="_inv06" localSheetId="33">#REF!</definedName>
    <definedName name="_inv06">#REF!</definedName>
    <definedName name="_inv07" localSheetId="33">#REF!</definedName>
    <definedName name="_inv07">#REF!</definedName>
    <definedName name="_inv08" localSheetId="33">#REF!</definedName>
    <definedName name="_inv08">#REF!</definedName>
    <definedName name="_inv09" localSheetId="33">#REF!</definedName>
    <definedName name="_inv09">#REF!</definedName>
    <definedName name="_inv10" localSheetId="33">#REF!</definedName>
    <definedName name="_inv10">#REF!</definedName>
    <definedName name="_inv11" localSheetId="33">#REF!</definedName>
    <definedName name="_inv11">#REF!</definedName>
    <definedName name="_inv12" localSheetId="33">#REF!</definedName>
    <definedName name="_inv12">#REF!</definedName>
    <definedName name="_inv13" localSheetId="33">#REF!</definedName>
    <definedName name="_inv13">#REF!</definedName>
    <definedName name="_MEB1" localSheetId="4">'[1]Template names'!#REF!</definedName>
    <definedName name="_MEB1" localSheetId="32">'Template names'!#REF!</definedName>
    <definedName name="_MEB1" localSheetId="33">'Template names'!#REF!</definedName>
    <definedName name="_MEB1" localSheetId="23">'Template names'!#REF!</definedName>
    <definedName name="_MEB1">'Template names'!#REF!</definedName>
    <definedName name="_MEB10" localSheetId="4">'[1]Template names'!#REF!</definedName>
    <definedName name="_MEB10" localSheetId="32">'Template names'!#REF!</definedName>
    <definedName name="_MEB10" localSheetId="33">'Template names'!#REF!</definedName>
    <definedName name="_MEB10" localSheetId="23">'Template names'!#REF!</definedName>
    <definedName name="_MEB10">'Template names'!#REF!</definedName>
    <definedName name="_MEB11" localSheetId="4">'[1]Template names'!#REF!</definedName>
    <definedName name="_MEB11" localSheetId="32">'Template names'!#REF!</definedName>
    <definedName name="_MEB11" localSheetId="33">'Template names'!#REF!</definedName>
    <definedName name="_MEB11" localSheetId="23">'Template names'!#REF!</definedName>
    <definedName name="_MEB11">'Template names'!#REF!</definedName>
    <definedName name="_MEB12" localSheetId="4">'[1]Template names'!#REF!</definedName>
    <definedName name="_MEB12" localSheetId="32">'Template names'!#REF!</definedName>
    <definedName name="_MEB12" localSheetId="33">'Template names'!#REF!</definedName>
    <definedName name="_MEB12" localSheetId="23">'Template names'!#REF!</definedName>
    <definedName name="_MEB12">'Template names'!#REF!</definedName>
    <definedName name="_MEB2" localSheetId="4">'[1]Template names'!#REF!</definedName>
    <definedName name="_MEB2" localSheetId="32">'Template names'!#REF!</definedName>
    <definedName name="_MEB2" localSheetId="33">'Template names'!#REF!</definedName>
    <definedName name="_MEB2" localSheetId="23">'Template names'!#REF!</definedName>
    <definedName name="_MEB2">'Template names'!#REF!</definedName>
    <definedName name="_MEB3" localSheetId="4">'[1]Template names'!#REF!</definedName>
    <definedName name="_MEB3" localSheetId="32">'Template names'!#REF!</definedName>
    <definedName name="_MEB3" localSheetId="33">'Template names'!#REF!</definedName>
    <definedName name="_MEB3" localSheetId="23">'Template names'!#REF!</definedName>
    <definedName name="_MEB3">'Template names'!#REF!</definedName>
    <definedName name="_MEB4" localSheetId="4">'[1]Template names'!#REF!</definedName>
    <definedName name="_MEB4" localSheetId="32">'Template names'!#REF!</definedName>
    <definedName name="_MEB4" localSheetId="33">'Template names'!#REF!</definedName>
    <definedName name="_MEB4" localSheetId="23">'Template names'!#REF!</definedName>
    <definedName name="_MEB4">'Template names'!#REF!</definedName>
    <definedName name="_MEB5" localSheetId="4">'[1]Template names'!#REF!</definedName>
    <definedName name="_MEB5" localSheetId="32">'Template names'!#REF!</definedName>
    <definedName name="_MEB5" localSheetId="33">'Template names'!#REF!</definedName>
    <definedName name="_MEB5" localSheetId="23">'Template names'!#REF!</definedName>
    <definedName name="_MEB5">'Template names'!#REF!</definedName>
    <definedName name="_MEB6" localSheetId="4">'[1]Template names'!#REF!</definedName>
    <definedName name="_MEB6" localSheetId="32">'Template names'!#REF!</definedName>
    <definedName name="_MEB6" localSheetId="33">'Template names'!#REF!</definedName>
    <definedName name="_MEB6" localSheetId="23">'Template names'!#REF!</definedName>
    <definedName name="_MEB6">'Template names'!#REF!</definedName>
    <definedName name="_MEB7" localSheetId="4">'[1]Template names'!#REF!</definedName>
    <definedName name="_MEB7" localSheetId="32">'Template names'!#REF!</definedName>
    <definedName name="_MEB7" localSheetId="33">'Template names'!#REF!</definedName>
    <definedName name="_MEB7" localSheetId="23">'Template names'!#REF!</definedName>
    <definedName name="_MEB7">'Template names'!#REF!</definedName>
    <definedName name="_MEB8" localSheetId="4">'[1]Template names'!#REF!</definedName>
    <definedName name="_MEB8" localSheetId="32">'Template names'!#REF!</definedName>
    <definedName name="_MEB8" localSheetId="33">'Template names'!#REF!</definedName>
    <definedName name="_MEB8" localSheetId="23">'Template names'!#REF!</definedName>
    <definedName name="_MEB8">'Template names'!#REF!</definedName>
    <definedName name="_MEB9" localSheetId="4">'[1]Template names'!#REF!</definedName>
    <definedName name="_MEB9" localSheetId="32">'Template names'!#REF!</definedName>
    <definedName name="_MEB9" localSheetId="33">'Template names'!#REF!</definedName>
    <definedName name="_MEB9" localSheetId="23">'Template names'!#REF!</definedName>
    <definedName name="_MEB9">'Template names'!#REF!</definedName>
    <definedName name="_MER1" localSheetId="4">'[1]Template names'!#REF!</definedName>
    <definedName name="_MER1" localSheetId="32">'Template names'!#REF!</definedName>
    <definedName name="_MER1" localSheetId="33">'Template names'!#REF!</definedName>
    <definedName name="_MER1" localSheetId="23">'Template names'!#REF!</definedName>
    <definedName name="_MER1">'Template names'!#REF!</definedName>
    <definedName name="_MER10" localSheetId="4">'[1]Template names'!#REF!</definedName>
    <definedName name="_MER10" localSheetId="32">'Template names'!#REF!</definedName>
    <definedName name="_MER10" localSheetId="33">'Template names'!#REF!</definedName>
    <definedName name="_MER10" localSheetId="23">'Template names'!#REF!</definedName>
    <definedName name="_MER10">'Template names'!#REF!</definedName>
    <definedName name="_MER11" localSheetId="4">'[1]Template names'!#REF!</definedName>
    <definedName name="_MER11" localSheetId="32">'Template names'!#REF!</definedName>
    <definedName name="_MER11" localSheetId="33">'Template names'!#REF!</definedName>
    <definedName name="_MER11" localSheetId="23">'Template names'!#REF!</definedName>
    <definedName name="_MER11">'Template names'!#REF!</definedName>
    <definedName name="_MER2" localSheetId="4">'[1]Template names'!#REF!</definedName>
    <definedName name="_MER2" localSheetId="32">'Template names'!#REF!</definedName>
    <definedName name="_MER2" localSheetId="33">'Template names'!#REF!</definedName>
    <definedName name="_MER2" localSheetId="23">'Template names'!#REF!</definedName>
    <definedName name="_MER2">'Template names'!#REF!</definedName>
    <definedName name="_MER3" localSheetId="4">'[1]Template names'!#REF!</definedName>
    <definedName name="_MER3" localSheetId="32">'Template names'!#REF!</definedName>
    <definedName name="_MER3" localSheetId="33">'Template names'!#REF!</definedName>
    <definedName name="_MER3" localSheetId="23">'Template names'!#REF!</definedName>
    <definedName name="_MER3">'Template names'!#REF!</definedName>
    <definedName name="_MER4" localSheetId="4">'[1]Template names'!#REF!</definedName>
    <definedName name="_MER4" localSheetId="32">'Template names'!#REF!</definedName>
    <definedName name="_MER4" localSheetId="33">'Template names'!#REF!</definedName>
    <definedName name="_MER4" localSheetId="23">'Template names'!#REF!</definedName>
    <definedName name="_MER4">'Template names'!#REF!</definedName>
    <definedName name="_MER5" localSheetId="4">'[1]Template names'!#REF!</definedName>
    <definedName name="_MER5" localSheetId="32">'Template names'!#REF!</definedName>
    <definedName name="_MER5" localSheetId="33">'Template names'!#REF!</definedName>
    <definedName name="_MER5" localSheetId="23">'Template names'!#REF!</definedName>
    <definedName name="_MER5">'Template names'!#REF!</definedName>
    <definedName name="_MER6" localSheetId="4">'[1]Template names'!#REF!</definedName>
    <definedName name="_MER6" localSheetId="32">'Template names'!#REF!</definedName>
    <definedName name="_MER6" localSheetId="33">'Template names'!#REF!</definedName>
    <definedName name="_MER6" localSheetId="23">'Template names'!#REF!</definedName>
    <definedName name="_MER6">'Template names'!#REF!</definedName>
    <definedName name="_MER7" localSheetId="4">'[1]Template names'!#REF!</definedName>
    <definedName name="_MER7" localSheetId="32">'Template names'!#REF!</definedName>
    <definedName name="_MER7" localSheetId="33">'Template names'!#REF!</definedName>
    <definedName name="_MER7" localSheetId="23">'Template names'!#REF!</definedName>
    <definedName name="_MER7">'Template names'!#REF!</definedName>
    <definedName name="_MER8" localSheetId="4">'[1]Template names'!#REF!</definedName>
    <definedName name="_MER8" localSheetId="32">'Template names'!#REF!</definedName>
    <definedName name="_MER8" localSheetId="33">'Template names'!#REF!</definedName>
    <definedName name="_MER8" localSheetId="23">'Template names'!#REF!</definedName>
    <definedName name="_MER8">'Template names'!#REF!</definedName>
    <definedName name="_MER9" localSheetId="4">'[1]Template names'!#REF!</definedName>
    <definedName name="_MER9" localSheetId="32">'Template names'!#REF!</definedName>
    <definedName name="_MER9" localSheetId="33">'Template names'!#REF!</definedName>
    <definedName name="_MER9" localSheetId="23">'Template names'!#REF!</definedName>
    <definedName name="_MER9">'Template names'!#REF!</definedName>
    <definedName name="_rat03" localSheetId="32">#REF!</definedName>
    <definedName name="_rat03" localSheetId="33">#REF!</definedName>
    <definedName name="_rat03" localSheetId="23">#REF!</definedName>
    <definedName name="_rat03">#REF!</definedName>
    <definedName name="_rat04" localSheetId="32">#REF!</definedName>
    <definedName name="_rat04" localSheetId="33">#REF!</definedName>
    <definedName name="_rat04" localSheetId="23">#REF!</definedName>
    <definedName name="_rat04">#REF!</definedName>
    <definedName name="_rat05" localSheetId="32">#REF!</definedName>
    <definedName name="_rat05" localSheetId="33">#REF!</definedName>
    <definedName name="_rat05" localSheetId="23">#REF!</definedName>
    <definedName name="_rat05">#REF!</definedName>
    <definedName name="_rat06" localSheetId="32">#REF!</definedName>
    <definedName name="_rat06" localSheetId="33">#REF!</definedName>
    <definedName name="_rat06" localSheetId="23">#REF!</definedName>
    <definedName name="_rat06">#REF!</definedName>
    <definedName name="_rat07" localSheetId="32">#REF!</definedName>
    <definedName name="_rat07" localSheetId="33">#REF!</definedName>
    <definedName name="_rat07" localSheetId="23">#REF!</definedName>
    <definedName name="_rat07">#REF!</definedName>
    <definedName name="_rat08" localSheetId="32">#REF!</definedName>
    <definedName name="_rat08" localSheetId="33">#REF!</definedName>
    <definedName name="_rat08" localSheetId="23">#REF!</definedName>
    <definedName name="_rat08">#REF!</definedName>
    <definedName name="_rat09" localSheetId="32">#REF!</definedName>
    <definedName name="_rat09" localSheetId="33">#REF!</definedName>
    <definedName name="_rat09" localSheetId="23">#REF!</definedName>
    <definedName name="_rat09">#REF!</definedName>
    <definedName name="_rat10" localSheetId="32">#REF!</definedName>
    <definedName name="_rat10" localSheetId="33">#REF!</definedName>
    <definedName name="_rat10" localSheetId="23">#REF!</definedName>
    <definedName name="_rat10">#REF!</definedName>
    <definedName name="_rat11" localSheetId="32">#REF!</definedName>
    <definedName name="_rat11" localSheetId="33">#REF!</definedName>
    <definedName name="_rat11" localSheetId="23">#REF!</definedName>
    <definedName name="_rat11">#REF!</definedName>
    <definedName name="_rat12" localSheetId="32">#REF!</definedName>
    <definedName name="_rat12" localSheetId="33">#REF!</definedName>
    <definedName name="_rat12" localSheetId="23">#REF!</definedName>
    <definedName name="_rat12">#REF!</definedName>
    <definedName name="_rat13" localSheetId="32">#REF!</definedName>
    <definedName name="_rat13" localSheetId="33">#REF!</definedName>
    <definedName name="_rat13" localSheetId="23">#REF!</definedName>
    <definedName name="_rat13">#REF!</definedName>
    <definedName name="_rgr05" localSheetId="32">#REF!</definedName>
    <definedName name="_rgr05" localSheetId="33">#REF!</definedName>
    <definedName name="_rgr05" localSheetId="23">#REF!</definedName>
    <definedName name="_rgr05">#REF!</definedName>
    <definedName name="_rgr06" localSheetId="33">#REF!</definedName>
    <definedName name="_rgr06">#REF!</definedName>
    <definedName name="_rgr07" localSheetId="33">#REF!</definedName>
    <definedName name="_rgr07">#REF!</definedName>
    <definedName name="_rgr08" localSheetId="33">#REF!</definedName>
    <definedName name="_rgr08">#REF!</definedName>
    <definedName name="_rgr09" localSheetId="33">#REF!</definedName>
    <definedName name="_rgr09">#REF!</definedName>
    <definedName name="_rgr10" localSheetId="33">#REF!</definedName>
    <definedName name="_rgr10">#REF!</definedName>
    <definedName name="_rgr11" localSheetId="33">#REF!</definedName>
    <definedName name="_rgr11">#REF!</definedName>
    <definedName name="_rgr12" localSheetId="33">#REF!</definedName>
    <definedName name="_rgr12">#REF!</definedName>
    <definedName name="_rgr13" localSheetId="33">#REF!</definedName>
    <definedName name="_rgr13">#REF!</definedName>
    <definedName name="_rgr14" localSheetId="33">#REF!</definedName>
    <definedName name="_rgr14">#REF!</definedName>
    <definedName name="_rgr15" localSheetId="33">#REF!</definedName>
    <definedName name="_rgr15">#REF!</definedName>
    <definedName name="_rgr16" localSheetId="33">#REF!</definedName>
    <definedName name="_rgr16">#REF!</definedName>
    <definedName name="_rgr17" localSheetId="33">#REF!</definedName>
    <definedName name="_rgr17">#REF!</definedName>
    <definedName name="_rgr18" localSheetId="1">#REF!</definedName>
    <definedName name="_rgr18" localSheetId="4">#REF!</definedName>
    <definedName name="_rgr18" localSheetId="33">#REF!</definedName>
    <definedName name="_rgr18">#REF!</definedName>
    <definedName name="_rgr19" localSheetId="1">#REF!</definedName>
    <definedName name="_rgr19" localSheetId="4">#REF!</definedName>
    <definedName name="_rgr19" localSheetId="33">#REF!</definedName>
    <definedName name="_rgr19">#REF!</definedName>
    <definedName name="_rgr20" localSheetId="1">#REF!</definedName>
    <definedName name="_rgr20" localSheetId="4">#REF!</definedName>
    <definedName name="_rgr20" localSheetId="33">#REF!</definedName>
    <definedName name="_rgr20">#REF!</definedName>
    <definedName name="_rmc05" localSheetId="1">#REF!</definedName>
    <definedName name="_rmc05" localSheetId="4">#REF!</definedName>
    <definedName name="_rmc05" localSheetId="32">#REF!</definedName>
    <definedName name="_rmc05" localSheetId="33">#REF!</definedName>
    <definedName name="_rmc05" localSheetId="23">#REF!</definedName>
    <definedName name="_rmc05">#REF!</definedName>
    <definedName name="_rmc06" localSheetId="1">#REF!</definedName>
    <definedName name="_rmc06" localSheetId="4">#REF!</definedName>
    <definedName name="_rmc06" localSheetId="33">#REF!</definedName>
    <definedName name="_rmc06">#REF!</definedName>
    <definedName name="_rmc07" localSheetId="1">#REF!</definedName>
    <definedName name="_rmc07" localSheetId="4">#REF!</definedName>
    <definedName name="_rmc07" localSheetId="33">#REF!</definedName>
    <definedName name="_rmc07">#REF!</definedName>
    <definedName name="_rmc08" localSheetId="1">#REF!</definedName>
    <definedName name="_rmc08" localSheetId="4">#REF!</definedName>
    <definedName name="_rmc08" localSheetId="33">#REF!</definedName>
    <definedName name="_rmc08">#REF!</definedName>
    <definedName name="_rmc09" localSheetId="1">#REF!</definedName>
    <definedName name="_rmc09" localSheetId="4">#REF!</definedName>
    <definedName name="_rmc09" localSheetId="33">#REF!</definedName>
    <definedName name="_rmc09">#REF!</definedName>
    <definedName name="_rmc10" localSheetId="1">#REF!</definedName>
    <definedName name="_rmc10" localSheetId="4">#REF!</definedName>
    <definedName name="_rmc10" localSheetId="33">#REF!</definedName>
    <definedName name="_rmc10">#REF!</definedName>
    <definedName name="_rmc11" localSheetId="1">#REF!</definedName>
    <definedName name="_rmc11" localSheetId="4">#REF!</definedName>
    <definedName name="_rmc11" localSheetId="33">#REF!</definedName>
    <definedName name="_rmc11">#REF!</definedName>
    <definedName name="_rmc12" localSheetId="1">#REF!</definedName>
    <definedName name="_rmc12" localSheetId="4">#REF!</definedName>
    <definedName name="_rmc12" localSheetId="33">#REF!</definedName>
    <definedName name="_rmc12">#REF!</definedName>
    <definedName name="_rmc13" localSheetId="1">#REF!</definedName>
    <definedName name="_rmc13" localSheetId="4">#REF!</definedName>
    <definedName name="_rmc13" localSheetId="33">#REF!</definedName>
    <definedName name="_rmc13">#REF!</definedName>
    <definedName name="_rmc14" localSheetId="1">#REF!</definedName>
    <definedName name="_rmc14" localSheetId="4">#REF!</definedName>
    <definedName name="_rmc14" localSheetId="33">#REF!</definedName>
    <definedName name="_rmc14">#REF!</definedName>
    <definedName name="_rmc15" localSheetId="1">#REF!</definedName>
    <definedName name="_rmc15" localSheetId="4">#REF!</definedName>
    <definedName name="_rmc15" localSheetId="33">#REF!</definedName>
    <definedName name="_rmc15">#REF!</definedName>
    <definedName name="_rmc16" localSheetId="1">#REF!</definedName>
    <definedName name="_rmc16" localSheetId="4">#REF!</definedName>
    <definedName name="_rmc16" localSheetId="33">#REF!</definedName>
    <definedName name="_rmc16">#REF!</definedName>
    <definedName name="_rmc17" localSheetId="1">#REF!</definedName>
    <definedName name="_rmc17" localSheetId="4">#REF!</definedName>
    <definedName name="_rmc17" localSheetId="33">#REF!</definedName>
    <definedName name="_rmc17">#REF!</definedName>
    <definedName name="_rmc18" localSheetId="1">#REF!</definedName>
    <definedName name="_rmc18" localSheetId="4">#REF!</definedName>
    <definedName name="_rmc18" localSheetId="33">#REF!</definedName>
    <definedName name="_rmc18">#REF!</definedName>
    <definedName name="_rmc19" localSheetId="1">#REF!</definedName>
    <definedName name="_rmc19" localSheetId="4">#REF!</definedName>
    <definedName name="_rmc19" localSheetId="33">#REF!</definedName>
    <definedName name="_rmc19">#REF!</definedName>
    <definedName name="_rmc20" localSheetId="1">#REF!</definedName>
    <definedName name="_rmc20" localSheetId="4">#REF!</definedName>
    <definedName name="_rmc20" localSheetId="33">#REF!</definedName>
    <definedName name="_rmc20">#REF!</definedName>
    <definedName name="_rmc21" localSheetId="1">#REF!</definedName>
    <definedName name="_rmc21" localSheetId="4">#REF!</definedName>
    <definedName name="_rmc21" localSheetId="33">#REF!</definedName>
    <definedName name="_rmc21">#REF!</definedName>
    <definedName name="_Sch1" localSheetId="32">'Template names'!#REF!</definedName>
    <definedName name="_Sch1" localSheetId="33">'Template names'!#REF!</definedName>
    <definedName name="_Sch1" localSheetId="23">'Template names'!#REF!</definedName>
    <definedName name="_Sch1">'Template names'!#REF!</definedName>
    <definedName name="_Sch10" localSheetId="32">'Template names'!#REF!</definedName>
    <definedName name="_Sch10" localSheetId="33">'Template names'!#REF!</definedName>
    <definedName name="_Sch10" localSheetId="23">'Template names'!#REF!</definedName>
    <definedName name="_Sch10">'Template names'!#REF!</definedName>
    <definedName name="_sch11" localSheetId="32">'Template names'!#REF!</definedName>
    <definedName name="_sch11" localSheetId="33">'Template names'!#REF!</definedName>
    <definedName name="_sch11" localSheetId="23">'Template names'!#REF!</definedName>
    <definedName name="_sch11">'Template names'!#REF!</definedName>
    <definedName name="_Sch2" localSheetId="32">'Template names'!#REF!</definedName>
    <definedName name="_Sch2" localSheetId="33">'Template names'!#REF!</definedName>
    <definedName name="_Sch2" localSheetId="23">'Template names'!#REF!</definedName>
    <definedName name="_Sch2">'Template names'!#REF!</definedName>
    <definedName name="_Sch3" localSheetId="32">'Template names'!#REF!</definedName>
    <definedName name="_Sch3" localSheetId="33">'Template names'!#REF!</definedName>
    <definedName name="_Sch3" localSheetId="23">'Template names'!#REF!</definedName>
    <definedName name="_Sch3">'Template names'!#REF!</definedName>
    <definedName name="_Sch4" localSheetId="32">'Template names'!#REF!</definedName>
    <definedName name="_Sch4" localSheetId="33">'Template names'!#REF!</definedName>
    <definedName name="_Sch4" localSheetId="23">'Template names'!#REF!</definedName>
    <definedName name="_Sch4">'Template names'!#REF!</definedName>
    <definedName name="_Sch5" localSheetId="32">'Template names'!#REF!</definedName>
    <definedName name="_Sch5" localSheetId="33">'Template names'!#REF!</definedName>
    <definedName name="_Sch5" localSheetId="23">'Template names'!#REF!</definedName>
    <definedName name="_Sch5">'Template names'!#REF!</definedName>
    <definedName name="_Sch6" localSheetId="32">'Template names'!#REF!</definedName>
    <definedName name="_Sch6" localSheetId="33">'Template names'!#REF!</definedName>
    <definedName name="_Sch6" localSheetId="23">'Template names'!#REF!</definedName>
    <definedName name="_Sch6">'Template names'!#REF!</definedName>
    <definedName name="_Sch7" localSheetId="32">'Template names'!#REF!</definedName>
    <definedName name="_Sch7" localSheetId="33">'Template names'!#REF!</definedName>
    <definedName name="_Sch7" localSheetId="23">'Template names'!#REF!</definedName>
    <definedName name="_Sch7">'Template names'!#REF!</definedName>
    <definedName name="_Sch8" localSheetId="32">'Template names'!#REF!</definedName>
    <definedName name="_Sch8" localSheetId="33">'Template names'!#REF!</definedName>
    <definedName name="_Sch8" localSheetId="23">'Template names'!#REF!</definedName>
    <definedName name="_Sch8">'Template names'!#REF!</definedName>
    <definedName name="_Sch9" localSheetId="32">'Template names'!#REF!</definedName>
    <definedName name="_Sch9" localSheetId="33">'Template names'!#REF!</definedName>
    <definedName name="_Sch9" localSheetId="23">'Template names'!#REF!</definedName>
    <definedName name="_Sch9">'Template names'!#REF!</definedName>
    <definedName name="_sdc05" localSheetId="1">#REF!</definedName>
    <definedName name="_sdc05" localSheetId="4">#REF!</definedName>
    <definedName name="_sdc05" localSheetId="32">#REF!</definedName>
    <definedName name="_sdc05" localSheetId="33">#REF!</definedName>
    <definedName name="_sdc05" localSheetId="23">#REF!</definedName>
    <definedName name="_sdc05">#REF!</definedName>
    <definedName name="_sdc06" localSheetId="1">#REF!</definedName>
    <definedName name="_sdc06" localSheetId="4">#REF!</definedName>
    <definedName name="_sdc06" localSheetId="33">#REF!</definedName>
    <definedName name="_sdc06">#REF!</definedName>
    <definedName name="_sdc07" localSheetId="1">#REF!</definedName>
    <definedName name="_sdc07" localSheetId="4">#REF!</definedName>
    <definedName name="_sdc07" localSheetId="33">#REF!</definedName>
    <definedName name="_sdc07">#REF!</definedName>
    <definedName name="_sdc08" localSheetId="1">#REF!</definedName>
    <definedName name="_sdc08" localSheetId="4">#REF!</definedName>
    <definedName name="_sdc08" localSheetId="33">#REF!</definedName>
    <definedName name="_sdc08">#REF!</definedName>
    <definedName name="_sdc09" localSheetId="1">#REF!</definedName>
    <definedName name="_sdc09" localSheetId="4">#REF!</definedName>
    <definedName name="_sdc09" localSheetId="33">#REF!</definedName>
    <definedName name="_sdc09">#REF!</definedName>
    <definedName name="_sdc10" localSheetId="1">#REF!</definedName>
    <definedName name="_sdc10" localSheetId="4">#REF!</definedName>
    <definedName name="_sdc10" localSheetId="33">#REF!</definedName>
    <definedName name="_sdc10">#REF!</definedName>
    <definedName name="_sdc11" localSheetId="1">#REF!</definedName>
    <definedName name="_sdc11" localSheetId="4">#REF!</definedName>
    <definedName name="_sdc11" localSheetId="33">#REF!</definedName>
    <definedName name="_sdc11">#REF!</definedName>
    <definedName name="_sdc12" localSheetId="1">#REF!</definedName>
    <definedName name="_sdc12" localSheetId="4">#REF!</definedName>
    <definedName name="_sdc12" localSheetId="33">#REF!</definedName>
    <definedName name="_sdc12">#REF!</definedName>
    <definedName name="_sdc13" localSheetId="1">#REF!</definedName>
    <definedName name="_sdc13" localSheetId="4">#REF!</definedName>
    <definedName name="_sdc13" localSheetId="33">#REF!</definedName>
    <definedName name="_sdc13">#REF!</definedName>
    <definedName name="_sdc14" localSheetId="1">#REF!</definedName>
    <definedName name="_sdc14" localSheetId="4">#REF!</definedName>
    <definedName name="_sdc14" localSheetId="33">#REF!</definedName>
    <definedName name="_sdc14">#REF!</definedName>
    <definedName name="_sdc15" localSheetId="1">#REF!</definedName>
    <definedName name="_sdc15" localSheetId="4">#REF!</definedName>
    <definedName name="_sdc15" localSheetId="33">#REF!</definedName>
    <definedName name="_sdc15">#REF!</definedName>
    <definedName name="_sdc16" localSheetId="1">#REF!</definedName>
    <definedName name="_sdc16" localSheetId="4">#REF!</definedName>
    <definedName name="_sdc16" localSheetId="33">#REF!</definedName>
    <definedName name="_sdc16">#REF!</definedName>
    <definedName name="_sdc17" localSheetId="1">#REF!</definedName>
    <definedName name="_sdc17" localSheetId="4">#REF!</definedName>
    <definedName name="_sdc17" localSheetId="33">#REF!</definedName>
    <definedName name="_sdc17">#REF!</definedName>
    <definedName name="_sdc18" localSheetId="1">#REF!</definedName>
    <definedName name="_sdc18" localSheetId="4">#REF!</definedName>
    <definedName name="_sdc18" localSheetId="33">#REF!</definedName>
    <definedName name="_sdc18">#REF!</definedName>
    <definedName name="_sdc19" localSheetId="1">#REF!</definedName>
    <definedName name="_sdc19" localSheetId="4">#REF!</definedName>
    <definedName name="_sdc19" localSheetId="33">#REF!</definedName>
    <definedName name="_sdc19">#REF!</definedName>
    <definedName name="_sdc20" localSheetId="1">#REF!</definedName>
    <definedName name="_sdc20" localSheetId="4">#REF!</definedName>
    <definedName name="_sdc20" localSheetId="33">#REF!</definedName>
    <definedName name="_sdc20">#REF!</definedName>
    <definedName name="_wc05" localSheetId="1">#REF!</definedName>
    <definedName name="_wc05" localSheetId="4">#REF!</definedName>
    <definedName name="_wc05" localSheetId="32">#REF!</definedName>
    <definedName name="_wc05" localSheetId="33">#REF!</definedName>
    <definedName name="_wc05" localSheetId="23">#REF!</definedName>
    <definedName name="_wc05">#REF!</definedName>
    <definedName name="_wc06" localSheetId="1">#REF!</definedName>
    <definedName name="_wc06" localSheetId="4">#REF!</definedName>
    <definedName name="_wc06" localSheetId="33">#REF!</definedName>
    <definedName name="_wc06">#REF!</definedName>
    <definedName name="_wc07" localSheetId="1">#REF!</definedName>
    <definedName name="_wc07" localSheetId="4">#REF!</definedName>
    <definedName name="_wc07" localSheetId="33">#REF!</definedName>
    <definedName name="_wc07">#REF!</definedName>
    <definedName name="_wc08" localSheetId="1">#REF!</definedName>
    <definedName name="_wc08" localSheetId="4">#REF!</definedName>
    <definedName name="_wc08" localSheetId="33">#REF!</definedName>
    <definedName name="_wc08">#REF!</definedName>
    <definedName name="_wc09" localSheetId="1">#REF!</definedName>
    <definedName name="_wc09" localSheetId="4">#REF!</definedName>
    <definedName name="_wc09" localSheetId="33">#REF!</definedName>
    <definedName name="_wc09">#REF!</definedName>
    <definedName name="_wc10" localSheetId="1">#REF!</definedName>
    <definedName name="_wc10" localSheetId="4">#REF!</definedName>
    <definedName name="_wc10" localSheetId="33">#REF!</definedName>
    <definedName name="_wc10">#REF!</definedName>
    <definedName name="_wc11" localSheetId="1">#REF!</definedName>
    <definedName name="_wc11" localSheetId="4">#REF!</definedName>
    <definedName name="_wc11" localSheetId="33">#REF!</definedName>
    <definedName name="_wc11">#REF!</definedName>
    <definedName name="_wc12" localSheetId="1">#REF!</definedName>
    <definedName name="_wc12" localSheetId="4">#REF!</definedName>
    <definedName name="_wc12" localSheetId="33">#REF!</definedName>
    <definedName name="_wc12">#REF!</definedName>
    <definedName name="_wc13" localSheetId="1">#REF!</definedName>
    <definedName name="_wc13" localSheetId="4">#REF!</definedName>
    <definedName name="_wc13" localSheetId="33">#REF!</definedName>
    <definedName name="_wc13">#REF!</definedName>
    <definedName name="_wc14" localSheetId="1">#REF!</definedName>
    <definedName name="_wc14" localSheetId="4">#REF!</definedName>
    <definedName name="_wc14" localSheetId="33">#REF!</definedName>
    <definedName name="_wc14">#REF!</definedName>
    <definedName name="_wc15" localSheetId="1">#REF!</definedName>
    <definedName name="_wc15" localSheetId="4">#REF!</definedName>
    <definedName name="_wc15" localSheetId="33">#REF!</definedName>
    <definedName name="_wc15">#REF!</definedName>
    <definedName name="_wc16" localSheetId="1">#REF!</definedName>
    <definedName name="_wc16" localSheetId="4">#REF!</definedName>
    <definedName name="_wc16" localSheetId="33">#REF!</definedName>
    <definedName name="_wc16">#REF!</definedName>
    <definedName name="_wc17" localSheetId="1">#REF!</definedName>
    <definedName name="_wc17" localSheetId="4">#REF!</definedName>
    <definedName name="_wc17" localSheetId="33">#REF!</definedName>
    <definedName name="_wc17">#REF!</definedName>
    <definedName name="_wc18" localSheetId="1">#REF!</definedName>
    <definedName name="_wc18" localSheetId="4">#REF!</definedName>
    <definedName name="_wc18" localSheetId="33">#REF!</definedName>
    <definedName name="_wc18">#REF!</definedName>
    <definedName name="_wc19" localSheetId="1">#REF!</definedName>
    <definedName name="_wc19" localSheetId="4">#REF!</definedName>
    <definedName name="_wc19" localSheetId="33">#REF!</definedName>
    <definedName name="_wc19">#REF!</definedName>
    <definedName name="_wc20" localSheetId="1">#REF!</definedName>
    <definedName name="_wc20" localSheetId="4">#REF!</definedName>
    <definedName name="_wc20" localSheetId="33">#REF!</definedName>
    <definedName name="_wc20">#REF!</definedName>
    <definedName name="ADJ10plus" localSheetId="4">'[1]Template names'!#REF!</definedName>
    <definedName name="ADJ10plus" localSheetId="32">'Template names'!#REF!</definedName>
    <definedName name="ADJ10plus" localSheetId="33">'Template names'!#REF!</definedName>
    <definedName name="ADJ10plus" localSheetId="23">'Template names'!#REF!</definedName>
    <definedName name="ADJ10plus">'Template names'!#REF!</definedName>
    <definedName name="ADJ18A" localSheetId="4">'[1]Template names'!#REF!</definedName>
    <definedName name="ADJ18A" localSheetId="32">'Template names'!#REF!</definedName>
    <definedName name="ADJ18A" localSheetId="33">'Template names'!#REF!</definedName>
    <definedName name="ADJ18A" localSheetId="23">'Template names'!#REF!</definedName>
    <definedName name="ADJ18A">'Template names'!#REF!</definedName>
    <definedName name="ADJ18B" localSheetId="4">'[1]Template names'!#REF!</definedName>
    <definedName name="ADJ18B" localSheetId="32">'Template names'!#REF!</definedName>
    <definedName name="ADJ18B" localSheetId="33">'Template names'!#REF!</definedName>
    <definedName name="ADJ18B" localSheetId="23">'Template names'!#REF!</definedName>
    <definedName name="ADJ18B">'Template names'!#REF!</definedName>
    <definedName name="ADJ19B" localSheetId="4">'[1]Template names'!#REF!</definedName>
    <definedName name="ADJ19B" localSheetId="32">'Template names'!#REF!</definedName>
    <definedName name="ADJ19B" localSheetId="33">'Template names'!#REF!</definedName>
    <definedName name="ADJ19B" localSheetId="23">'Template names'!#REF!</definedName>
    <definedName name="ADJ19B">'Template names'!#REF!</definedName>
    <definedName name="ADJ8A" localSheetId="4">'[1]Template names'!#REF!</definedName>
    <definedName name="ADJ8A" localSheetId="32">'Template names'!#REF!</definedName>
    <definedName name="ADJ8A" localSheetId="33">'Template names'!#REF!</definedName>
    <definedName name="ADJ8A" localSheetId="23">'Template names'!#REF!</definedName>
    <definedName name="ADJ8A">'Template names'!#REF!</definedName>
    <definedName name="ADJ8B" localSheetId="4">'[1]Template names'!#REF!</definedName>
    <definedName name="ADJ8B" localSheetId="32">'Template names'!#REF!</definedName>
    <definedName name="ADJ8B" localSheetId="33">'Template names'!#REF!</definedName>
    <definedName name="ADJ8B" localSheetId="23">'Template names'!#REF!</definedName>
    <definedName name="ADJ8B">'Template names'!#REF!</definedName>
    <definedName name="ADJP1" localSheetId="4">'[1]Template names'!#REF!</definedName>
    <definedName name="ADJP1" localSheetId="32">'Template names'!#REF!</definedName>
    <definedName name="ADJP1" localSheetId="33">'Template names'!#REF!</definedName>
    <definedName name="ADJP1" localSheetId="23">'Template names'!#REF!</definedName>
    <definedName name="ADJP1">'Template names'!#REF!</definedName>
    <definedName name="adjsum" localSheetId="1">'Template names'!#REF!</definedName>
    <definedName name="adjsum" localSheetId="32">'[1]Template names'!#REF!</definedName>
    <definedName name="adjsum" localSheetId="33">'[1]Template names'!#REF!</definedName>
    <definedName name="adjsum" localSheetId="23">'[1]Template names'!#REF!</definedName>
    <definedName name="adjsum">'[1]Template names'!#REF!</definedName>
    <definedName name="ADJTB1" localSheetId="4">'[1]Template names'!#REF!</definedName>
    <definedName name="ADJTB1" localSheetId="32">'Template names'!#REF!</definedName>
    <definedName name="ADJTB1" localSheetId="33">'Template names'!#REF!</definedName>
    <definedName name="ADJTB1" localSheetId="23">'Template names'!#REF!</definedName>
    <definedName name="ADJTB1">'Template names'!#REF!</definedName>
    <definedName name="ADJXX" localSheetId="4">'[1]Template names'!#REF!</definedName>
    <definedName name="ADJXX" localSheetId="32">'Template names'!#REF!</definedName>
    <definedName name="ADJXX" localSheetId="33">'Template names'!#REF!</definedName>
    <definedName name="ADJXX" localSheetId="23">'Template names'!#REF!</definedName>
    <definedName name="ADJXX">'Template names'!#REF!</definedName>
    <definedName name="Approve1">'[1]Template names'!$B$100</definedName>
    <definedName name="Approve10">'[1]Template names'!$B$109</definedName>
    <definedName name="Approve2" localSheetId="4">'[1]Template names'!$B$102</definedName>
    <definedName name="Approve2">'Template names'!$B$106</definedName>
    <definedName name="Approve3" localSheetId="4">'[1]Template names'!$B$101</definedName>
    <definedName name="Approve3">'Template names'!$B$103</definedName>
    <definedName name="Approve4">'[1]Template names'!$B$103</definedName>
    <definedName name="Approve5">'[1]Template names'!$B$104</definedName>
    <definedName name="Approve6">'[1]Template names'!$B$105</definedName>
    <definedName name="Approve7">'[1]Template names'!$B$106</definedName>
    <definedName name="Approve8">'[1]Template names'!$B$107</definedName>
    <definedName name="Approve9">'[1]Template names'!$B$108</definedName>
    <definedName name="Asset_Class">'[1]Lookup and lists'!$Z$15:$Z$29</definedName>
    <definedName name="Asset_sub_class">'[1]Lookup and lists'!$AA$15:$AA$59</definedName>
    <definedName name="avelife07" localSheetId="33">#REF!</definedName>
    <definedName name="avelife07">#REF!</definedName>
    <definedName name="avelife08" localSheetId="33">#REF!</definedName>
    <definedName name="avelife08">#REF!</definedName>
    <definedName name="avelife09" localSheetId="33">#REF!</definedName>
    <definedName name="avelife09">#REF!</definedName>
    <definedName name="avelife10" localSheetId="33">#REF!</definedName>
    <definedName name="avelife10">#REF!</definedName>
    <definedName name="avelife11" localSheetId="33">#REF!</definedName>
    <definedName name="avelife11">#REF!</definedName>
    <definedName name="avelife12" localSheetId="33">#REF!</definedName>
    <definedName name="avelife12">#REF!</definedName>
    <definedName name="avelife13" localSheetId="33">#REF!</definedName>
    <definedName name="avelife13">#REF!</definedName>
    <definedName name="balloon" localSheetId="32">#REF!</definedName>
    <definedName name="balloon" localSheetId="33">#REF!</definedName>
    <definedName name="balloon" localSheetId="23">#REF!</definedName>
    <definedName name="balloon">#REF!</definedName>
    <definedName name="basedesc">'Template names'!$D$36:$D$36</definedName>
    <definedName name="Bus" localSheetId="32">#REF!</definedName>
    <definedName name="Bus" localSheetId="33">#REF!</definedName>
    <definedName name="Bus" localSheetId="23">#REF!</definedName>
    <definedName name="Bus">#REF!</definedName>
    <definedName name="capexfactor" localSheetId="32">#REF!</definedName>
    <definedName name="capexfactor" localSheetId="33">#REF!</definedName>
    <definedName name="capexfactor" localSheetId="23">#REF!</definedName>
    <definedName name="capexfactor">#REF!</definedName>
    <definedName name="capexlimit06" localSheetId="33">#REF!</definedName>
    <definedName name="capexlimit06">#REF!</definedName>
    <definedName name="capexlimit07" localSheetId="33">#REF!</definedName>
    <definedName name="capexlimit07">#REF!</definedName>
    <definedName name="capexlimit08" localSheetId="33">#REF!</definedName>
    <definedName name="capexlimit08">#REF!</definedName>
    <definedName name="capexlimit09" localSheetId="33">#REF!</definedName>
    <definedName name="capexlimit09">#REF!</definedName>
    <definedName name="capexrate04" localSheetId="32">#REF!</definedName>
    <definedName name="capexrate04" localSheetId="33">#REF!</definedName>
    <definedName name="capexrate04" localSheetId="23">#REF!</definedName>
    <definedName name="capexrate04">#REF!</definedName>
    <definedName name="capexrate05" localSheetId="32">#REF!</definedName>
    <definedName name="capexrate05" localSheetId="33">#REF!</definedName>
    <definedName name="capexrate05" localSheetId="23">#REF!</definedName>
    <definedName name="capexrate05">#REF!</definedName>
    <definedName name="capexrate06" localSheetId="33">#REF!</definedName>
    <definedName name="capexrate06">#REF!</definedName>
    <definedName name="capexrate07" localSheetId="33">#REF!</definedName>
    <definedName name="capexrate07">#REF!</definedName>
    <definedName name="capexrate08" localSheetId="33">#REF!</definedName>
    <definedName name="capexrate08">#REF!</definedName>
    <definedName name="capexrate09" localSheetId="33">#REF!</definedName>
    <definedName name="capexrate09">#REF!</definedName>
    <definedName name="capexrate10" localSheetId="33">#REF!</definedName>
    <definedName name="capexrate10">#REF!</definedName>
    <definedName name="capexrate11" localSheetId="33">#REF!</definedName>
    <definedName name="capexrate11">#REF!</definedName>
    <definedName name="capexrate12" localSheetId="33">#REF!</definedName>
    <definedName name="capexrate12">#REF!</definedName>
    <definedName name="capexrate13" localSheetId="33">#REF!</definedName>
    <definedName name="capexrate13">#REF!</definedName>
    <definedName name="capexrate14" localSheetId="33">#REF!</definedName>
    <definedName name="capexrate14">#REF!</definedName>
    <definedName name="capexrate15" localSheetId="33">#REF!</definedName>
    <definedName name="capexrate15">#REF!</definedName>
    <definedName name="capexrate16" localSheetId="33">#REF!</definedName>
    <definedName name="capexrate16">#REF!</definedName>
    <definedName name="capexrate17" localSheetId="33">#REF!</definedName>
    <definedName name="capexrate17">#REF!</definedName>
    <definedName name="capexrate18" localSheetId="33">#REF!</definedName>
    <definedName name="capexrate18">#REF!</definedName>
    <definedName name="capexrate19" localSheetId="33">#REF!</definedName>
    <definedName name="capexrate19">#REF!</definedName>
    <definedName name="capexrate20" localSheetId="33">#REF!</definedName>
    <definedName name="capexrate20">#REF!</definedName>
    <definedName name="capexrate21" localSheetId="33">#REF!</definedName>
    <definedName name="capexrate21">#REF!</definedName>
    <definedName name="Capytd" localSheetId="1">#REF!</definedName>
    <definedName name="Capytd" localSheetId="4">#REF!</definedName>
    <definedName name="Capytd">SC13a!$M$8</definedName>
    <definedName name="Cash1">'Template names'!$B$69</definedName>
    <definedName name="Cash2">'Template names'!$B$70</definedName>
    <definedName name="cfactor08" localSheetId="33">#REF!</definedName>
    <definedName name="cfactor08">#REF!</definedName>
    <definedName name="cfactor09" localSheetId="33">#REF!</definedName>
    <definedName name="cfactor09">#REF!</definedName>
    <definedName name="cfactor10" localSheetId="33">#REF!</definedName>
    <definedName name="cfactor10">#REF!</definedName>
    <definedName name="cfactor11" localSheetId="33">#REF!</definedName>
    <definedName name="cfactor11">#REF!</definedName>
    <definedName name="cfactor12" localSheetId="33">#REF!</definedName>
    <definedName name="cfactor12">#REF!</definedName>
    <definedName name="cfactor13" localSheetId="33">#REF!</definedName>
    <definedName name="cfactor13">#REF!</definedName>
    <definedName name="Consolques" localSheetId="4">'[1]Template names'!$A$95</definedName>
    <definedName name="Consolques">'Template names'!$A$75</definedName>
    <definedName name="cpix04" localSheetId="32">#REF!</definedName>
    <definedName name="cpix04" localSheetId="33">#REF!</definedName>
    <definedName name="cpix04" localSheetId="23">#REF!</definedName>
    <definedName name="cpix04">#REF!</definedName>
    <definedName name="cpix05" localSheetId="32">#REF!</definedName>
    <definedName name="cpix05" localSheetId="33">#REF!</definedName>
    <definedName name="cpix05" localSheetId="23">#REF!</definedName>
    <definedName name="cpix05">#REF!</definedName>
    <definedName name="cpix06" localSheetId="33">#REF!</definedName>
    <definedName name="cpix06">#REF!</definedName>
    <definedName name="cpix07" localSheetId="33">#REF!</definedName>
    <definedName name="cpix07">#REF!</definedName>
    <definedName name="cpix08" localSheetId="33">#REF!</definedName>
    <definedName name="cpix08">#REF!</definedName>
    <definedName name="cpix09" localSheetId="33">#REF!</definedName>
    <definedName name="cpix09">#REF!</definedName>
    <definedName name="cpix10" localSheetId="33">#REF!</definedName>
    <definedName name="cpix10">#REF!</definedName>
    <definedName name="cpix11" localSheetId="33">#REF!</definedName>
    <definedName name="cpix11">#REF!</definedName>
    <definedName name="cpix12" localSheetId="33">#REF!</definedName>
    <definedName name="cpix12">#REF!</definedName>
    <definedName name="cpix13" localSheetId="33">#REF!</definedName>
    <definedName name="cpix13">#REF!</definedName>
    <definedName name="cpix14" localSheetId="33">#REF!</definedName>
    <definedName name="cpix14">#REF!</definedName>
    <definedName name="cpix15" localSheetId="33">#REF!</definedName>
    <definedName name="cpix15">#REF!</definedName>
    <definedName name="cpix16" localSheetId="33">#REF!</definedName>
    <definedName name="cpix16">#REF!</definedName>
    <definedName name="cpix17" localSheetId="33">#REF!</definedName>
    <definedName name="cpix17">#REF!</definedName>
    <definedName name="cpix18" localSheetId="33">#REF!</definedName>
    <definedName name="cpix18">#REF!</definedName>
    <definedName name="cpix19" localSheetId="33">#REF!</definedName>
    <definedName name="cpix19">#REF!</definedName>
    <definedName name="cpix20" localSheetId="33">#REF!</definedName>
    <definedName name="cpix20">#REF!</definedName>
    <definedName name="cpix21" localSheetId="33">#REF!</definedName>
    <definedName name="cpix21">#REF!</definedName>
    <definedName name="credit06" localSheetId="32">#REF!</definedName>
    <definedName name="credit06" localSheetId="33">#REF!</definedName>
    <definedName name="credit06" localSheetId="23">#REF!</definedName>
    <definedName name="credit06">#REF!</definedName>
    <definedName name="date" localSheetId="4">[3]Data!$B$2</definedName>
    <definedName name="date">Instructions!$X$11</definedName>
    <definedName name="debt03" localSheetId="32">#REF!</definedName>
    <definedName name="debt03" localSheetId="33">#REF!</definedName>
    <definedName name="debt03" localSheetId="23">#REF!</definedName>
    <definedName name="debt03">#REF!</definedName>
    <definedName name="debt04" localSheetId="32">#REF!</definedName>
    <definedName name="debt04" localSheetId="33">#REF!</definedName>
    <definedName name="debt04" localSheetId="23">#REF!</definedName>
    <definedName name="debt04">#REF!</definedName>
    <definedName name="debt05" localSheetId="32">#REF!</definedName>
    <definedName name="debt05" localSheetId="33">#REF!</definedName>
    <definedName name="debt05" localSheetId="23">#REF!</definedName>
    <definedName name="debt05">#REF!</definedName>
    <definedName name="debt06" localSheetId="33">#REF!</definedName>
    <definedName name="debt06">#REF!</definedName>
    <definedName name="debt07" localSheetId="33">#REF!</definedName>
    <definedName name="debt07">#REF!</definedName>
    <definedName name="debt08" localSheetId="33">#REF!</definedName>
    <definedName name="debt08">#REF!</definedName>
    <definedName name="debt09" localSheetId="33">#REF!</definedName>
    <definedName name="debt09">#REF!</definedName>
    <definedName name="debt10" localSheetId="33">#REF!</definedName>
    <definedName name="debt10">#REF!</definedName>
    <definedName name="debt11" localSheetId="33">#REF!</definedName>
    <definedName name="debt11">#REF!</definedName>
    <definedName name="debt12" localSheetId="33">#REF!</definedName>
    <definedName name="debt12">#REF!</definedName>
    <definedName name="debt13" localSheetId="33">#REF!</definedName>
    <definedName name="debt13">#REF!</definedName>
    <definedName name="debt14" localSheetId="33">#REF!</definedName>
    <definedName name="debt14">#REF!</definedName>
    <definedName name="debt15" localSheetId="33">#REF!</definedName>
    <definedName name="debt15">#REF!</definedName>
    <definedName name="debt16" localSheetId="33">#REF!</definedName>
    <definedName name="debt16">#REF!</definedName>
    <definedName name="debt17" localSheetId="33">#REF!</definedName>
    <definedName name="debt17">#REF!</definedName>
    <definedName name="debt18" localSheetId="33">#REF!</definedName>
    <definedName name="debt18">#REF!</definedName>
    <definedName name="debt19" localSheetId="33">#REF!</definedName>
    <definedName name="debt19">#REF!</definedName>
    <definedName name="debt20" localSheetId="33">#REF!</definedName>
    <definedName name="debt20">#REF!</definedName>
    <definedName name="debt21" localSheetId="33">#REF!</definedName>
    <definedName name="debt21">#REF!</definedName>
    <definedName name="debtrev04" localSheetId="32">#REF!</definedName>
    <definedName name="debtrev04" localSheetId="33">#REF!</definedName>
    <definedName name="debtrev04" localSheetId="23">#REF!</definedName>
    <definedName name="debtrev04">#REF!</definedName>
    <definedName name="debtrev05" localSheetId="32">#REF!</definedName>
    <definedName name="debtrev05" localSheetId="33">#REF!</definedName>
    <definedName name="debtrev05" localSheetId="23">#REF!</definedName>
    <definedName name="debtrev05">#REF!</definedName>
    <definedName name="debtrev06" localSheetId="33">#REF!</definedName>
    <definedName name="debtrev06">#REF!</definedName>
    <definedName name="debtrev07" localSheetId="33">#REF!</definedName>
    <definedName name="debtrev07">#REF!</definedName>
    <definedName name="debtrev08" localSheetId="33">#REF!</definedName>
    <definedName name="debtrev08">#REF!</definedName>
    <definedName name="debtrev09" localSheetId="33">#REF!</definedName>
    <definedName name="debtrev09">#REF!</definedName>
    <definedName name="debtrev10" localSheetId="33">#REF!</definedName>
    <definedName name="debtrev10">#REF!</definedName>
    <definedName name="debtrev11" localSheetId="33">#REF!</definedName>
    <definedName name="debtrev11">#REF!</definedName>
    <definedName name="debtrev12" localSheetId="33">#REF!</definedName>
    <definedName name="debtrev12">#REF!</definedName>
    <definedName name="debtrev13" localSheetId="33">#REF!</definedName>
    <definedName name="debtrev13">#REF!</definedName>
    <definedName name="debtrev14" localSheetId="33">#REF!</definedName>
    <definedName name="debtrev14">#REF!</definedName>
    <definedName name="debtrev15" localSheetId="33">#REF!</definedName>
    <definedName name="debtrev15">#REF!</definedName>
    <definedName name="debtrev16" localSheetId="33">#REF!</definedName>
    <definedName name="debtrev16">#REF!</definedName>
    <definedName name="debtrev17" localSheetId="33">#REF!</definedName>
    <definedName name="debtrev17">#REF!</definedName>
    <definedName name="debtrev18" localSheetId="33">#REF!</definedName>
    <definedName name="debtrev18">#REF!</definedName>
    <definedName name="debtrev19" localSheetId="33">#REF!</definedName>
    <definedName name="debtrev19">#REF!</definedName>
    <definedName name="debtrev20" localSheetId="33">#REF!</definedName>
    <definedName name="debtrev20">#REF!</definedName>
    <definedName name="debtrev21" localSheetId="33">#REF!</definedName>
    <definedName name="debtrev21">#REF!</definedName>
    <definedName name="desc" localSheetId="4">'[1]Template names'!$B$30</definedName>
    <definedName name="desc">'Template names'!$B$27</definedName>
    <definedName name="dfratio03" localSheetId="33">#REF!</definedName>
    <definedName name="dfratio03">#REF!</definedName>
    <definedName name="dfratio04" localSheetId="33">#REF!</definedName>
    <definedName name="dfratio04">#REF!</definedName>
    <definedName name="dfratio05" localSheetId="33">#REF!</definedName>
    <definedName name="dfratio05">#REF!</definedName>
    <definedName name="dfratio06" localSheetId="33">#REF!</definedName>
    <definedName name="dfratio06">#REF!</definedName>
    <definedName name="dfratioadj04" localSheetId="33">#REF!</definedName>
    <definedName name="dfratioadj04">#REF!</definedName>
    <definedName name="dfration02" localSheetId="33">#REF!</definedName>
    <definedName name="dfration02">#REF!</definedName>
    <definedName name="ecchoice" localSheetId="32">#REF!</definedName>
    <definedName name="ecchoice" localSheetId="33">#REF!</definedName>
    <definedName name="ecchoice" localSheetId="23">#REF!</definedName>
    <definedName name="ecchoice">#REF!</definedName>
    <definedName name="elec05" localSheetId="32">#REF!</definedName>
    <definedName name="elec05" localSheetId="33">#REF!</definedName>
    <definedName name="elec05" localSheetId="23">#REF!</definedName>
    <definedName name="elec05">#REF!</definedName>
    <definedName name="elec06" localSheetId="33">#REF!</definedName>
    <definedName name="elec06">#REF!</definedName>
    <definedName name="elec07" localSheetId="33">#REF!</definedName>
    <definedName name="elec07">#REF!</definedName>
    <definedName name="elec08" localSheetId="33">#REF!</definedName>
    <definedName name="elec08">#REF!</definedName>
    <definedName name="elec09" localSheetId="33">#REF!</definedName>
    <definedName name="elec09">#REF!</definedName>
    <definedName name="elec10" localSheetId="33">#REF!</definedName>
    <definedName name="elec10">#REF!</definedName>
    <definedName name="elec11" localSheetId="33">#REF!</definedName>
    <definedName name="elec11">#REF!</definedName>
    <definedName name="elec12" localSheetId="33">#REF!</definedName>
    <definedName name="elec12">#REF!</definedName>
    <definedName name="elec13" localSheetId="33">#REF!</definedName>
    <definedName name="elec13">#REF!</definedName>
    <definedName name="elecbulk06" localSheetId="33">#REF!</definedName>
    <definedName name="elecbulk06">#REF!</definedName>
    <definedName name="elecextra" localSheetId="33">#REF!</definedName>
    <definedName name="elecextra">#REF!</definedName>
    <definedName name="elecrev06" localSheetId="33">#REF!</definedName>
    <definedName name="elecrev06">#REF!</definedName>
    <definedName name="elecrev07" localSheetId="33">#REF!</definedName>
    <definedName name="elecrev07">#REF!</definedName>
    <definedName name="elecrev08" localSheetId="33">#REF!</definedName>
    <definedName name="elecrev08">#REF!</definedName>
    <definedName name="elecrev09" localSheetId="33">#REF!</definedName>
    <definedName name="elecrev09">#REF!</definedName>
    <definedName name="elecrev10" localSheetId="33">#REF!</definedName>
    <definedName name="elecrev10">#REF!</definedName>
    <definedName name="elecrev11" localSheetId="33">#REF!</definedName>
    <definedName name="elecrev11">#REF!</definedName>
    <definedName name="elecrev12" localSheetId="33">#REF!</definedName>
    <definedName name="elecrev12">#REF!</definedName>
    <definedName name="elecrev13" localSheetId="33">#REF!</definedName>
    <definedName name="elecrev13">#REF!</definedName>
    <definedName name="elecrev14" localSheetId="33">#REF!</definedName>
    <definedName name="elecrev14">#REF!</definedName>
    <definedName name="elecrev15" localSheetId="33">#REF!</definedName>
    <definedName name="elecrev15">#REF!</definedName>
    <definedName name="elecrev16" localSheetId="33">#REF!</definedName>
    <definedName name="elecrev16">#REF!</definedName>
    <definedName name="elecrev17" localSheetId="33">#REF!</definedName>
    <definedName name="elecrev17">#REF!</definedName>
    <definedName name="elecrev18" localSheetId="33">#REF!</definedName>
    <definedName name="elecrev18">#REF!</definedName>
    <definedName name="elecrev19" localSheetId="33">#REF!</definedName>
    <definedName name="elecrev19">#REF!</definedName>
    <definedName name="elecrev20" localSheetId="33">#REF!</definedName>
    <definedName name="elecrev20">#REF!</definedName>
    <definedName name="elecrev21" localSheetId="33">#REF!</definedName>
    <definedName name="elecrev21">#REF!</definedName>
    <definedName name="EOYcapex" localSheetId="33">#REF!</definedName>
    <definedName name="EOYcapex">#REF!</definedName>
    <definedName name="eskom07" localSheetId="32">#REF!</definedName>
    <definedName name="eskom07" localSheetId="33">#REF!</definedName>
    <definedName name="eskom07" localSheetId="23">#REF!</definedName>
    <definedName name="eskom07">#REF!</definedName>
    <definedName name="FinYear" localSheetId="1">Instructions!$X$38</definedName>
    <definedName name="FinYear">[1]Instructions!$X$36</definedName>
    <definedName name="finyears" localSheetId="32">#REF!</definedName>
    <definedName name="finyears" localSheetId="33">#REF!</definedName>
    <definedName name="finyears" localSheetId="23">#REF!</definedName>
    <definedName name="finyears">#REF!</definedName>
    <definedName name="finyr" localSheetId="32">'Template names'!#REF!</definedName>
    <definedName name="finyr" localSheetId="33">'Template names'!#REF!</definedName>
    <definedName name="finyr" localSheetId="23">'Template names'!#REF!</definedName>
    <definedName name="finyr">'Template names'!#REF!</definedName>
    <definedName name="GrantNatCapex">'[1]Lookup and lists'!$AB$2:$AB$9</definedName>
    <definedName name="GrantNatOpex">'[1]Lookup and lists'!$Z$2:$Z$13</definedName>
    <definedName name="GrantProvOpex">'[1]Lookup and lists'!$AA$2:$AA$6</definedName>
    <definedName name="Head1" localSheetId="4">'[1]Template names'!$B$2</definedName>
    <definedName name="Head1">'Template names'!$B$2</definedName>
    <definedName name="Head10" localSheetId="4">'[1]Template names'!$B$16</definedName>
    <definedName name="Head10">'Template names'!$B$13</definedName>
    <definedName name="Head11" localSheetId="4">'[1]Template names'!$B$17</definedName>
    <definedName name="Head11">'Template names'!$B$14</definedName>
    <definedName name="Head12" localSheetId="4">'[1]Template names'!$B$18</definedName>
    <definedName name="Head12">'Template names'!$B$15</definedName>
    <definedName name="Head13" localSheetId="4">'[1]Template names'!$B$19</definedName>
    <definedName name="Head13">'Template names'!$B$16</definedName>
    <definedName name="Head14" localSheetId="4">'[1]Template names'!$B$20</definedName>
    <definedName name="Head14">'Template names'!$B$17</definedName>
    <definedName name="Head15" localSheetId="4">'[1]Template names'!$B$21</definedName>
    <definedName name="Head15">'Template names'!$B$18</definedName>
    <definedName name="Head16" localSheetId="4">'[1]Template names'!$B$22</definedName>
    <definedName name="Head16">'Template names'!$B$19</definedName>
    <definedName name="Head17" localSheetId="4">'[1]Template names'!$B$23</definedName>
    <definedName name="Head17">'Template names'!$B$20</definedName>
    <definedName name="Head18" localSheetId="4">'[1]Template names'!$B$24</definedName>
    <definedName name="Head18">'Template names'!$B$21</definedName>
    <definedName name="Head19" localSheetId="4">'[1]Template names'!$B$25</definedName>
    <definedName name="Head19">'Template names'!$B$22</definedName>
    <definedName name="head1A" localSheetId="4">'[1]Template names'!$B$3</definedName>
    <definedName name="head1A" localSheetId="32">'Template names'!#REF!</definedName>
    <definedName name="head1A" localSheetId="33">'Template names'!#REF!</definedName>
    <definedName name="head1A" localSheetId="23">'Template names'!#REF!</definedName>
    <definedName name="head1A">'Template names'!#REF!</definedName>
    <definedName name="head1b" localSheetId="4">'[1]Template names'!$B$4</definedName>
    <definedName name="head1b" localSheetId="32">'Template names'!#REF!</definedName>
    <definedName name="head1b" localSheetId="33">'Template names'!#REF!</definedName>
    <definedName name="head1b" localSheetId="23">'Template names'!#REF!</definedName>
    <definedName name="head1b">'Template names'!#REF!</definedName>
    <definedName name="Head2" localSheetId="4">'[1]Template names'!$B$5</definedName>
    <definedName name="Head2">'Template names'!$B$3</definedName>
    <definedName name="Head20" localSheetId="4">'[1]Template names'!$B$26</definedName>
    <definedName name="Head20">'Template names'!$B$23</definedName>
    <definedName name="Head21" localSheetId="4">'[1]Template names'!$B$27</definedName>
    <definedName name="Head21">'Template names'!$B$24</definedName>
    <definedName name="Head22" localSheetId="4">'[1]Template names'!$B$28</definedName>
    <definedName name="Head22">'Template names'!$B$25</definedName>
    <definedName name="Head23" localSheetId="4">'[1]Template names'!$B$29</definedName>
    <definedName name="Head23">'Template names'!$B$26</definedName>
    <definedName name="Head24">'Template names'!$B$27</definedName>
    <definedName name="head27" localSheetId="4">'[1]Template names'!$B$33</definedName>
    <definedName name="head27">'Template names'!$B$30</definedName>
    <definedName name="head27a" localSheetId="4">'[1]Template names'!$B$34</definedName>
    <definedName name="head27a">'Template names'!$B$31</definedName>
    <definedName name="Head29">'Template names'!$B$33</definedName>
    <definedName name="Head2A">'Template names'!$B$4</definedName>
    <definedName name="Head2B" localSheetId="32">'Template names'!#REF!</definedName>
    <definedName name="Head2B" localSheetId="33">'Template names'!#REF!</definedName>
    <definedName name="Head2B" localSheetId="23">'Template names'!#REF!</definedName>
    <definedName name="Head2B">'Template names'!#REF!</definedName>
    <definedName name="Head3" localSheetId="4">'[1]Template names'!$B$7</definedName>
    <definedName name="Head3">'Template names'!$B$5</definedName>
    <definedName name="Head30">'Template names'!$B$34</definedName>
    <definedName name="Head31">'Template names'!$B$35</definedName>
    <definedName name="Head32">'Template names'!$B$36</definedName>
    <definedName name="Head33">'Template names'!$B$37</definedName>
    <definedName name="Head34">'Template names'!$B$38</definedName>
    <definedName name="Head35">'Template names'!$B$39</definedName>
    <definedName name="Head36">'Template names'!$B$40</definedName>
    <definedName name="Head37">'Template names'!$B$41</definedName>
    <definedName name="Head38">'Template names'!$B$42</definedName>
    <definedName name="Head39">'Template names'!$B$43</definedName>
    <definedName name="Head3a" localSheetId="32">'Template names'!#REF!</definedName>
    <definedName name="Head3a" localSheetId="33">'Template names'!#REF!</definedName>
    <definedName name="Head3a" localSheetId="23">'Template names'!#REF!</definedName>
    <definedName name="Head3a">'Template names'!#REF!</definedName>
    <definedName name="Head4" localSheetId="4">'[1]Template names'!$B$8</definedName>
    <definedName name="Head4" localSheetId="32">'Template names'!#REF!</definedName>
    <definedName name="Head4" localSheetId="33">'Template names'!#REF!</definedName>
    <definedName name="Head4" localSheetId="23">'Template names'!#REF!</definedName>
    <definedName name="Head4">'Template names'!#REF!</definedName>
    <definedName name="Head40">'Template names'!$B$44</definedName>
    <definedName name="Head41">'Template names'!$B$45</definedName>
    <definedName name="Head42">'Template names'!$B$46</definedName>
    <definedName name="Head43">'Template names'!$B$47</definedName>
    <definedName name="Head44" localSheetId="4">'[1]Template names'!$B$51</definedName>
    <definedName name="Head44">'Template names'!$B$48</definedName>
    <definedName name="Head45" localSheetId="4">'[1]Template names'!$B$52</definedName>
    <definedName name="Head45">'Template names'!$B$49</definedName>
    <definedName name="head46">'Template names'!$B$50</definedName>
    <definedName name="Head47" localSheetId="4">'[1]Template names'!$B$54</definedName>
    <definedName name="Head47">'Template names'!$B$51</definedName>
    <definedName name="Head48" localSheetId="4">'[1]Template names'!$B$55</definedName>
    <definedName name="Head48">'Template names'!$B$52</definedName>
    <definedName name="Head49">'Template names'!$B$53</definedName>
    <definedName name="Head5" localSheetId="4">'[1]Template names'!$B$9</definedName>
    <definedName name="Head5">'Template names'!$B$6</definedName>
    <definedName name="Head50">'Template names'!$B$54</definedName>
    <definedName name="Head51">'Template names'!$B$55</definedName>
    <definedName name="Head52">'Template names'!$B$56</definedName>
    <definedName name="Head53">'Template names'!$B$57</definedName>
    <definedName name="Head54">'Template names'!$B$58</definedName>
    <definedName name="Head55">'Template names'!$B$59</definedName>
    <definedName name="Head56">'Template names'!$B$60</definedName>
    <definedName name="Head57">'Template names'!$B$61</definedName>
    <definedName name="Head58">'Template names'!$B$62</definedName>
    <definedName name="Head59">'Template names'!$B$63</definedName>
    <definedName name="Head5A" localSheetId="4">'[1]Template names'!$B$10</definedName>
    <definedName name="Head5A">'Template names'!$B$7</definedName>
    <definedName name="Head5b" localSheetId="4">'[1]Template names'!$B$11</definedName>
    <definedName name="Head5b">'Template names'!$B$8</definedName>
    <definedName name="Head6" localSheetId="4">'[1]Template names'!$B$12</definedName>
    <definedName name="Head6">'Template names'!$B$9</definedName>
    <definedName name="Head7" localSheetId="4">'[1]Template names'!$B$13</definedName>
    <definedName name="Head7">'Template names'!$B$10</definedName>
    <definedName name="Head8" localSheetId="4">'[1]Template names'!$B$14</definedName>
    <definedName name="Head8">'Template names'!$B$11</definedName>
    <definedName name="Head9" localSheetId="4">'[1]Template names'!$B$15</definedName>
    <definedName name="Head9">'Template names'!$B$12</definedName>
    <definedName name="headerdate" localSheetId="33">#REF!</definedName>
    <definedName name="headerdate">#REF!</definedName>
    <definedName name="Headings" localSheetId="4">'[1]Lookup and lists'!$A$1:$O$24</definedName>
    <definedName name="Headings">'Lookup and lists'!$A$1:$O$7</definedName>
    <definedName name="hhgr05" localSheetId="32">#REF!</definedName>
    <definedName name="hhgr05" localSheetId="33">#REF!</definedName>
    <definedName name="hhgr05" localSheetId="23">#REF!</definedName>
    <definedName name="hhgr05">#REF!</definedName>
    <definedName name="hhgr06" localSheetId="33">#REF!</definedName>
    <definedName name="hhgr06">#REF!</definedName>
    <definedName name="hhgr07" localSheetId="33">#REF!</definedName>
    <definedName name="hhgr07">#REF!</definedName>
    <definedName name="hhgr08" localSheetId="33">#REF!</definedName>
    <definedName name="hhgr08">#REF!</definedName>
    <definedName name="hhgr09" localSheetId="33">#REF!</definedName>
    <definedName name="hhgr09">#REF!</definedName>
    <definedName name="hhgr10" localSheetId="33">#REF!</definedName>
    <definedName name="hhgr10">#REF!</definedName>
    <definedName name="hhgr11" localSheetId="33">#REF!</definedName>
    <definedName name="hhgr11">#REF!</definedName>
    <definedName name="hhgr12" localSheetId="33">#REF!</definedName>
    <definedName name="hhgr12">#REF!</definedName>
    <definedName name="hhgr13" localSheetId="33">#REF!</definedName>
    <definedName name="hhgr13">#REF!</definedName>
    <definedName name="hhgr14" localSheetId="33">#REF!</definedName>
    <definedName name="hhgr14">#REF!</definedName>
    <definedName name="hhgr15" localSheetId="33">#REF!</definedName>
    <definedName name="hhgr15">#REF!</definedName>
    <definedName name="hhgr16" localSheetId="33">#REF!</definedName>
    <definedName name="hhgr16">#REF!</definedName>
    <definedName name="hhgr17" localSheetId="33">#REF!</definedName>
    <definedName name="hhgr17">#REF!</definedName>
    <definedName name="hhgr18" localSheetId="33">#REF!</definedName>
    <definedName name="hhgr18">#REF!</definedName>
    <definedName name="hhgr19" localSheetId="33">#REF!</definedName>
    <definedName name="hhgr19">#REF!</definedName>
    <definedName name="hhgr20" localSheetId="33">#REF!</definedName>
    <definedName name="hhgr20">#REF!</definedName>
    <definedName name="hhgr21" localSheetId="33">#REF!</definedName>
    <definedName name="hhgr21">#REF!</definedName>
    <definedName name="incentive" localSheetId="32">#REF!</definedName>
    <definedName name="incentive" localSheetId="33">#REF!</definedName>
    <definedName name="incentive" localSheetId="23">#REF!</definedName>
    <definedName name="incentive">#REF!</definedName>
    <definedName name="infra" localSheetId="33">#REF!</definedName>
    <definedName name="infra">#REF!</definedName>
    <definedName name="Infrarenewal" localSheetId="33">#REF!</definedName>
    <definedName name="Infrarenewal">#REF!</definedName>
    <definedName name="infrastratnum" localSheetId="33">#REF!</definedName>
    <definedName name="infrastratnum">#REF!</definedName>
    <definedName name="Instructions" localSheetId="1">#REF!</definedName>
    <definedName name="Instructions" localSheetId="33">#REF!</definedName>
    <definedName name="Instructions">#REF!</definedName>
    <definedName name="inventory" localSheetId="32">#REF!</definedName>
    <definedName name="inventory" localSheetId="33">#REF!</definedName>
    <definedName name="inventory" localSheetId="23">#REF!</definedName>
    <definedName name="inventory">#REF!</definedName>
    <definedName name="List1">'[1]Lookup and lists'!$Q$2:$Q$4</definedName>
    <definedName name="List2">'[1]Lookup and lists'!$R$2:$R$8</definedName>
    <definedName name="List3">'[1]Lookup and lists'!$S$2:$S$7</definedName>
    <definedName name="List4">'[1]Lookup and lists'!$T$2:$T$4</definedName>
    <definedName name="List5">'[1]Lookup and lists'!$U$2:$U$4</definedName>
    <definedName name="List6">'[1]Lookup and lists'!$V$2:$V$3</definedName>
    <definedName name="List7">'[1]Lookup and lists'!$W$2:$W$3</definedName>
    <definedName name="List8">'[1]Lookup and lists'!$X$2:$X$3</definedName>
    <definedName name="longterm" localSheetId="32">#REF!</definedName>
    <definedName name="longterm" localSheetId="33">#REF!</definedName>
    <definedName name="longterm" localSheetId="23">#REF!</definedName>
    <definedName name="longterm">#REF!</definedName>
    <definedName name="MEAB1" localSheetId="4">'[1]Template names'!#REF!</definedName>
    <definedName name="MEAB1" localSheetId="32">'Template names'!#REF!</definedName>
    <definedName name="MEAB1" localSheetId="33">'Template names'!#REF!</definedName>
    <definedName name="MEAB1" localSheetId="23">'Template names'!#REF!</definedName>
    <definedName name="MEAB1">'Template names'!#REF!</definedName>
    <definedName name="MEAB10" localSheetId="4">'[1]Template names'!#REF!</definedName>
    <definedName name="MEAB10" localSheetId="32">'Template names'!#REF!</definedName>
    <definedName name="MEAB10" localSheetId="33">'Template names'!#REF!</definedName>
    <definedName name="MEAB10" localSheetId="23">'Template names'!#REF!</definedName>
    <definedName name="MEAB10">'Template names'!#REF!</definedName>
    <definedName name="MEAB11" localSheetId="4">'[1]Template names'!#REF!</definedName>
    <definedName name="MEAB11" localSheetId="32">'Template names'!#REF!</definedName>
    <definedName name="MEAB11" localSheetId="33">'Template names'!#REF!</definedName>
    <definedName name="MEAB11" localSheetId="23">'Template names'!#REF!</definedName>
    <definedName name="MEAB11">'Template names'!#REF!</definedName>
    <definedName name="MEAB2" localSheetId="4">'[1]Template names'!#REF!</definedName>
    <definedName name="MEAB2" localSheetId="32">'Template names'!#REF!</definedName>
    <definedName name="MEAB2" localSheetId="33">'Template names'!#REF!</definedName>
    <definedName name="MEAB2" localSheetId="23">'Template names'!#REF!</definedName>
    <definedName name="MEAB2">'Template names'!#REF!</definedName>
    <definedName name="MEAB3" localSheetId="4">'[1]Template names'!#REF!</definedName>
    <definedName name="MEAB3" localSheetId="32">'Template names'!#REF!</definedName>
    <definedName name="MEAB3" localSheetId="33">'Template names'!#REF!</definedName>
    <definedName name="MEAB3" localSheetId="23">'Template names'!#REF!</definedName>
    <definedName name="MEAB3">'Template names'!#REF!</definedName>
    <definedName name="MEAB4" localSheetId="4">'[1]Template names'!#REF!</definedName>
    <definedName name="MEAB4" localSheetId="32">'Template names'!#REF!</definedName>
    <definedName name="MEAB4" localSheetId="33">'Template names'!#REF!</definedName>
    <definedName name="MEAB4" localSheetId="23">'Template names'!#REF!</definedName>
    <definedName name="MEAB4">'Template names'!#REF!</definedName>
    <definedName name="MEAB5" localSheetId="4">'[1]Template names'!#REF!</definedName>
    <definedName name="MEAB5" localSheetId="32">'Template names'!#REF!</definedName>
    <definedName name="MEAB5" localSheetId="33">'Template names'!#REF!</definedName>
    <definedName name="MEAB5" localSheetId="23">'Template names'!#REF!</definedName>
    <definedName name="MEAB5">'Template names'!#REF!</definedName>
    <definedName name="MEAB6" localSheetId="4">'[1]Template names'!#REF!</definedName>
    <definedName name="MEAB6" localSheetId="32">'Template names'!#REF!</definedName>
    <definedName name="MEAB6" localSheetId="33">'Template names'!#REF!</definedName>
    <definedName name="MEAB6" localSheetId="23">'Template names'!#REF!</definedName>
    <definedName name="MEAB6">'Template names'!#REF!</definedName>
    <definedName name="MEAB7" localSheetId="4">'[1]Template names'!#REF!</definedName>
    <definedName name="MEAB7" localSheetId="32">'Template names'!#REF!</definedName>
    <definedName name="MEAB7" localSheetId="33">'Template names'!#REF!</definedName>
    <definedName name="MEAB7" localSheetId="23">'Template names'!#REF!</definedName>
    <definedName name="MEAB7">'Template names'!#REF!</definedName>
    <definedName name="MEAB8" localSheetId="4">'[1]Template names'!#REF!</definedName>
    <definedName name="MEAB8" localSheetId="32">'Template names'!#REF!</definedName>
    <definedName name="MEAB8" localSheetId="33">'Template names'!#REF!</definedName>
    <definedName name="MEAB8" localSheetId="23">'Template names'!#REF!</definedName>
    <definedName name="MEAB8">'Template names'!#REF!</definedName>
    <definedName name="MEAB9" localSheetId="4">'[1]Template names'!#REF!</definedName>
    <definedName name="MEAB9" localSheetId="32">'Template names'!#REF!</definedName>
    <definedName name="MEAB9" localSheetId="33">'Template names'!#REF!</definedName>
    <definedName name="MEAB9" localSheetId="23">'Template names'!#REF!</definedName>
    <definedName name="MEAB9">'Template names'!#REF!</definedName>
    <definedName name="MEABsum" localSheetId="4">'[1]Template names'!#REF!</definedName>
    <definedName name="MEABsum" localSheetId="32">'Template names'!#REF!</definedName>
    <definedName name="MEABsum" localSheetId="33">'Template names'!#REF!</definedName>
    <definedName name="MEABsum" localSheetId="23">'Template names'!#REF!</definedName>
    <definedName name="MEABsum">'Template names'!#REF!</definedName>
    <definedName name="MEB1A" localSheetId="4">'[1]Template names'!#REF!</definedName>
    <definedName name="MEB1A" localSheetId="32">'Template names'!#REF!</definedName>
    <definedName name="MEB1A" localSheetId="33">'Template names'!#REF!</definedName>
    <definedName name="MEB1A" localSheetId="23">'Template names'!#REF!</definedName>
    <definedName name="MEB1A">'Template names'!#REF!</definedName>
    <definedName name="MEBsum" localSheetId="4">'[1]Template names'!#REF!</definedName>
    <definedName name="MEBsum" localSheetId="32">'Template names'!#REF!</definedName>
    <definedName name="MEBsum" localSheetId="33">'Template names'!#REF!</definedName>
    <definedName name="MEBsum" localSheetId="23">'Template names'!#REF!</definedName>
    <definedName name="MEBsum">'Template names'!#REF!</definedName>
    <definedName name="MERsum" localSheetId="4">'[1]Template names'!#REF!</definedName>
    <definedName name="MERsum" localSheetId="32">'Template names'!#REF!</definedName>
    <definedName name="MERsum" localSheetId="33">'Template names'!#REF!</definedName>
    <definedName name="MERsum" localSheetId="23">'Template names'!#REF!</definedName>
    <definedName name="MERsum">'Template names'!#REF!</definedName>
    <definedName name="month" localSheetId="1">[3]Data!$B$1</definedName>
    <definedName name="month" localSheetId="4">[3]Data!$B$1</definedName>
    <definedName name="Month">'Template names'!$D$64</definedName>
    <definedName name="MTREF" localSheetId="1">Instructions!$X$36</definedName>
    <definedName name="MTREF" localSheetId="4">[1]Instructions!$X$34</definedName>
    <definedName name="MTREF">Instructions!$X$36</definedName>
    <definedName name="muni" localSheetId="4">'[1]Template names'!$B$93</definedName>
    <definedName name="muni">'Template names'!$B$73</definedName>
    <definedName name="MuniEntities" localSheetId="4">'[1]Template names'!$B$94</definedName>
    <definedName name="MuniEntities">'Template names'!$B$74</definedName>
    <definedName name="MuniType" localSheetId="4">'[1]Template names'!$D$94</definedName>
    <definedName name="MuniType">'Template names'!$D$74</definedName>
    <definedName name="NatCapexGrantNames">'Lookup and lists'!$T$2:$T$12</definedName>
    <definedName name="NatOpexGrantNames">'Lookup and lists'!$R$2:$R$12</definedName>
    <definedName name="nersa07" localSheetId="32">#REF!</definedName>
    <definedName name="nersa07" localSheetId="33">#REF!</definedName>
    <definedName name="nersa07" localSheetId="23">#REF!</definedName>
    <definedName name="nersa07">#REF!</definedName>
    <definedName name="nersa08" localSheetId="32">#REF!</definedName>
    <definedName name="nersa08" localSheetId="33">#REF!</definedName>
    <definedName name="nersa08" localSheetId="23">#REF!</definedName>
    <definedName name="nersa08">#REF!</definedName>
    <definedName name="nethhgr05" localSheetId="32">#REF!</definedName>
    <definedName name="nethhgr05" localSheetId="33">#REF!</definedName>
    <definedName name="nethhgr05" localSheetId="23">#REF!</definedName>
    <definedName name="nethhgr05">#REF!</definedName>
    <definedName name="nethhgr06" localSheetId="33">#REF!</definedName>
    <definedName name="nethhgr06">#REF!</definedName>
    <definedName name="nethhgr07" localSheetId="33">#REF!</definedName>
    <definedName name="nethhgr07">#REF!</definedName>
    <definedName name="nethhgr08" localSheetId="33">#REF!</definedName>
    <definedName name="nethhgr08">#REF!</definedName>
    <definedName name="nethhgr09" localSheetId="33">#REF!</definedName>
    <definedName name="nethhgr09">#REF!</definedName>
    <definedName name="nethhgr10" localSheetId="33">#REF!</definedName>
    <definedName name="nethhgr10">#REF!</definedName>
    <definedName name="nethhgr11" localSheetId="33">#REF!</definedName>
    <definedName name="nethhgr11">#REF!</definedName>
    <definedName name="nethhgr12" localSheetId="33">#REF!</definedName>
    <definedName name="nethhgr12">#REF!</definedName>
    <definedName name="nethhgr13" localSheetId="33">#REF!</definedName>
    <definedName name="nethhgr13">#REF!</definedName>
    <definedName name="nethhgr14" localSheetId="33">#REF!</definedName>
    <definedName name="nethhgr14">#REF!</definedName>
    <definedName name="nethhgr15" localSheetId="33">#REF!</definedName>
    <definedName name="nethhgr15">#REF!</definedName>
    <definedName name="nethhgr16" localSheetId="33">#REF!</definedName>
    <definedName name="nethhgr16">#REF!</definedName>
    <definedName name="nethhgr17" localSheetId="33">#REF!</definedName>
    <definedName name="nethhgr17">#REF!</definedName>
    <definedName name="nethhgr18" localSheetId="33">#REF!</definedName>
    <definedName name="nethhgr18">#REF!</definedName>
    <definedName name="nethhgr19" localSheetId="33">#REF!</definedName>
    <definedName name="nethhgr19">#REF!</definedName>
    <definedName name="nethhgr20" localSheetId="33">#REF!</definedName>
    <definedName name="nethhgr20">#REF!</definedName>
    <definedName name="nethhgr21" localSheetId="33">#REF!</definedName>
    <definedName name="nethhgr21">#REF!</definedName>
    <definedName name="ninety" localSheetId="1">#REF!</definedName>
    <definedName name="ninety" localSheetId="4">#REF!</definedName>
    <definedName name="ninety">'SC3'!$P$14</definedName>
    <definedName name="Note20">[4]Names!$B$89</definedName>
    <definedName name="Orgstructurevotes">'Org structure'!$A$2:$A$16</definedName>
    <definedName name="poorgr06" localSheetId="33">#REF!</definedName>
    <definedName name="poorgr06">#REF!</definedName>
    <definedName name="_xlnm.Print_Area" localSheetId="6">'C1-Sum'!$A$1:$J$56</definedName>
    <definedName name="_xlnm.Print_Area" localSheetId="8">'C2C'!$A$1:$K$259</definedName>
    <definedName name="_xlnm.Print_Area" localSheetId="7">'C2-FinPerf SC'!$A$1:$K$58</definedName>
    <definedName name="_xlnm.Print_Area" localSheetId="10">'C3C'!$A$1:$K$348</definedName>
    <definedName name="_xlnm.Print_Area" localSheetId="9">'C3-FinPerf V'!$A$1:$K$47</definedName>
    <definedName name="_xlnm.Print_Area" localSheetId="11">'C4-FinPerf RE'!$A$1:$K$54</definedName>
    <definedName name="_xlnm.Print_Area" localSheetId="13">'C5C'!$A$1:$W$345</definedName>
    <definedName name="_xlnm.Print_Area" localSheetId="12">'C5-Capex'!$A$1:$K$85</definedName>
    <definedName name="_xlnm.Print_Area" localSheetId="14">'C6-FinPos'!$A$1:$G$54</definedName>
    <definedName name="_xlnm.Print_Area" localSheetId="15">'C7-CFlow'!$A$1:$K$43</definedName>
    <definedName name="_xlnm.Print_Area" localSheetId="5">Contacts!$A$1:$D$92</definedName>
    <definedName name="_xlnm.Print_Area" localSheetId="1">Instructions!$A$1:$M$48</definedName>
    <definedName name="_xlnm.Print_Area" localSheetId="4">'Org structure'!$A$1:$E$67</definedName>
    <definedName name="_xlnm.Print_Area" localSheetId="16">'SC1'!$A$1:$E$38</definedName>
    <definedName name="_xlnm.Print_Area" localSheetId="26">'SC10'!$A$1:$K$47</definedName>
    <definedName name="_xlnm.Print_Area" localSheetId="27">'SC11'!$A$1:$K$50</definedName>
    <definedName name="_xlnm.Print_Area" localSheetId="28">'SC12'!$A$1:$J$18</definedName>
    <definedName name="_xlnm.Print_Area" localSheetId="29">SC13a!$A$1:$K$171</definedName>
    <definedName name="_xlnm.Print_Area" localSheetId="30">SC13b!$A$1:$K$171</definedName>
    <definedName name="_xlnm.Print_Area" localSheetId="31">SC13c!$A$1:$K$171</definedName>
    <definedName name="_xlnm.Print_Area" localSheetId="32">SC13d!$A$1:$K$171</definedName>
    <definedName name="_xlnm.Print_Area" localSheetId="33">SC13e!$A$1:$K$171</definedName>
    <definedName name="_xlnm.Print_Area" localSheetId="17">'SC2'!$A$1:$H$66</definedName>
    <definedName name="_xlnm.Print_Area" localSheetId="18">'SC3'!$A$1:$N$26</definedName>
    <definedName name="_xlnm.Print_Area" localSheetId="19">'SC4'!$A$1:$L$18</definedName>
    <definedName name="_xlnm.Print_Area" localSheetId="20">'SC5'!$A$1:$J$67</definedName>
    <definedName name="_xlnm.Print_Area" localSheetId="21">'SC6'!$A$1:$K$66</definedName>
    <definedName name="_xlnm.Print_Area" localSheetId="22">'SC7(1)'!$A$1:$K$62</definedName>
    <definedName name="_xlnm.Print_Area" localSheetId="23">'SC7(2)'!$A$1:$G$53</definedName>
    <definedName name="_xlnm.Print_Area" localSheetId="24">'SC8'!$A$1:$K$110</definedName>
    <definedName name="_xlnm.Print_Area" localSheetId="25">'SC9'!$A$1:$Q$67</definedName>
    <definedName name="_xlnm.Print_Area" localSheetId="0">START!$A$1:$N$40</definedName>
    <definedName name="_xlnm.Print_Titles" localSheetId="8">'C2C'!$1:$4</definedName>
    <definedName name="_xlnm.Print_Titles" localSheetId="10">'C3C'!$1:$4</definedName>
    <definedName name="_xlnm.Print_Titles" localSheetId="13">'C5C'!$1:$4</definedName>
    <definedName name="_xlnm.Print_Titles" localSheetId="29">SC13a!$1:$4</definedName>
    <definedName name="_xlnm.Print_Titles" localSheetId="30">SC13b!$1:$4</definedName>
    <definedName name="_xlnm.Print_Titles" localSheetId="31">SC13c!$1:$4</definedName>
    <definedName name="_xlnm.Print_Titles" localSheetId="32">SC13d!$1:$4</definedName>
    <definedName name="_xlnm.Print_Titles" localSheetId="33">SC13e!$1:$4</definedName>
    <definedName name="_xlnm.Print_Titles" localSheetId="20">'SC5'!$1:$3</definedName>
    <definedName name="proptax07" localSheetId="33">#REF!</definedName>
    <definedName name="proptax07">#REF!</definedName>
    <definedName name="ProvCapexGrantsNames">'Lookup and lists'!$U$2:$U$7</definedName>
    <definedName name="ProvOpexGrantNames">'Lookup and lists'!$S$2:$S$7</definedName>
    <definedName name="Rand000" localSheetId="32">#REF!</definedName>
    <definedName name="Rand000" localSheetId="33">#REF!</definedName>
    <definedName name="Rand000" localSheetId="23">#REF!</definedName>
    <definedName name="Rand000">#REF!</definedName>
    <definedName name="RandM">'Template names'!$B$71</definedName>
    <definedName name="REDHHGR06" localSheetId="32">#REF!</definedName>
    <definedName name="REDHHGR06" localSheetId="33">#REF!</definedName>
    <definedName name="REDHHGR06" localSheetId="23">#REF!</definedName>
    <definedName name="REDHHGR06">#REF!</definedName>
    <definedName name="redhhgr07" localSheetId="32">#REF!</definedName>
    <definedName name="redhhgr07" localSheetId="33">#REF!</definedName>
    <definedName name="redhhgr07" localSheetId="23">#REF!</definedName>
    <definedName name="redhhgr07">#REF!</definedName>
    <definedName name="redrev06" localSheetId="32">#REF!</definedName>
    <definedName name="redrev06" localSheetId="33">#REF!</definedName>
    <definedName name="redrev06" localSheetId="23">#REF!</definedName>
    <definedName name="redrev06">#REF!</definedName>
    <definedName name="redrev07" localSheetId="32">#REF!</definedName>
    <definedName name="redrev07" localSheetId="33">#REF!</definedName>
    <definedName name="redrev07" localSheetId="23">#REF!</definedName>
    <definedName name="redrev07">#REF!</definedName>
    <definedName name="Reds" localSheetId="32">#REF!</definedName>
    <definedName name="Reds" localSheetId="33">#REF!</definedName>
    <definedName name="Reds" localSheetId="23">#REF!</definedName>
    <definedName name="Reds">#REF!</definedName>
    <definedName name="renewyears" localSheetId="33">#REF!</definedName>
    <definedName name="renewyears">#REF!</definedName>
    <definedName name="Request0506" localSheetId="32">#REF!</definedName>
    <definedName name="Request0506" localSheetId="33">#REF!</definedName>
    <definedName name="Request0506" localSheetId="23">#REF!</definedName>
    <definedName name="Request0506">#REF!</definedName>
    <definedName name="resiprop" localSheetId="33">#REF!</definedName>
    <definedName name="resiprop">#REF!</definedName>
    <definedName name="result" localSheetId="4">'[1]Template names'!$B$35</definedName>
    <definedName name="result">'Template names'!$B$32</definedName>
    <definedName name="rmcRED06" localSheetId="1">#REF!</definedName>
    <definedName name="rmcRED06" localSheetId="4">#REF!</definedName>
    <definedName name="rmcRED06" localSheetId="32">#REF!</definedName>
    <definedName name="rmcRED06" localSheetId="33">#REF!</definedName>
    <definedName name="rmcRED06" localSheetId="23">#REF!</definedName>
    <definedName name="rmcRED06">#REF!</definedName>
    <definedName name="rmcred07" localSheetId="1">#REF!</definedName>
    <definedName name="rmcred07" localSheetId="4">#REF!</definedName>
    <definedName name="rmcred07" localSheetId="32">#REF!</definedName>
    <definedName name="rmcred07" localSheetId="33">#REF!</definedName>
    <definedName name="rmcred07" localSheetId="23">#REF!</definedName>
    <definedName name="rmcred07">#REF!</definedName>
    <definedName name="roundfactor" localSheetId="1">#REF!</definedName>
    <definedName name="roundfactor" localSheetId="4">#REF!</definedName>
    <definedName name="roundfactor" localSheetId="32">#REF!</definedName>
    <definedName name="roundfactor" localSheetId="33">#REF!</definedName>
    <definedName name="roundfactor" localSheetId="23">#REF!</definedName>
    <definedName name="roundfactor">#REF!</definedName>
    <definedName name="S71A" localSheetId="1">'Template names'!#REF!</definedName>
    <definedName name="S71A" localSheetId="4">'[1]Template names'!#REF!</definedName>
    <definedName name="S71A">'Template names'!$B$79</definedName>
    <definedName name="S71B" localSheetId="1">'Template names'!#REF!</definedName>
    <definedName name="S71B" localSheetId="4">'[1]Template names'!#REF!</definedName>
    <definedName name="S71B">'Template names'!$B$80</definedName>
    <definedName name="s71B8" localSheetId="1">'Template names'!#REF!</definedName>
    <definedName name="s71B8" localSheetId="4">'[1]Template names'!#REF!</definedName>
    <definedName name="s71B8">'Template names'!$B$91</definedName>
    <definedName name="s71B9" localSheetId="1">'Template names'!#REF!</definedName>
    <definedName name="s71B9" localSheetId="4">'[1]Template names'!#REF!</definedName>
    <definedName name="s71B9">'Template names'!$B$92</definedName>
    <definedName name="S71C" localSheetId="1">'Template names'!#REF!</definedName>
    <definedName name="S71C" localSheetId="4">'[1]Template names'!#REF!</definedName>
    <definedName name="S71C">'Template names'!$B$78</definedName>
    <definedName name="S71D" localSheetId="1">'Template names'!#REF!</definedName>
    <definedName name="S71D" localSheetId="4">'[1]Template names'!#REF!</definedName>
    <definedName name="S71D">'Template names'!$B$81</definedName>
    <definedName name="S71E" localSheetId="1">'Template names'!#REF!</definedName>
    <definedName name="S71E" localSheetId="4">'[1]Template names'!#REF!</definedName>
    <definedName name="S71E">'Template names'!$B$82</definedName>
    <definedName name="S71F" localSheetId="1">'Template names'!#REF!</definedName>
    <definedName name="S71F" localSheetId="4">'[1]Template names'!#REF!</definedName>
    <definedName name="S71F">'Template names'!$B$83</definedName>
    <definedName name="S71G" localSheetId="1">'Template names'!#REF!</definedName>
    <definedName name="S71G" localSheetId="4">'[1]Template names'!#REF!</definedName>
    <definedName name="S71G">'Template names'!$B$84</definedName>
    <definedName name="S71H" localSheetId="1">'Template names'!#REF!</definedName>
    <definedName name="S71H" localSheetId="4">'[1]Template names'!#REF!</definedName>
    <definedName name="S71H">'Template names'!$B$85</definedName>
    <definedName name="S71I" localSheetId="1">'Template names'!#REF!</definedName>
    <definedName name="S71I" localSheetId="4">'[1]Template names'!#REF!</definedName>
    <definedName name="S71I">'Template names'!$B$86</definedName>
    <definedName name="S71J" localSheetId="1">'Template names'!#REF!</definedName>
    <definedName name="S71J" localSheetId="4">'[1]Template names'!#REF!</definedName>
    <definedName name="S71J">'Template names'!$B$87</definedName>
    <definedName name="S71K" localSheetId="1">'Template names'!#REF!</definedName>
    <definedName name="S71K" localSheetId="4">'[1]Template names'!#REF!</definedName>
    <definedName name="S71K">'Template names'!$B$88</definedName>
    <definedName name="S71L" localSheetId="1">'Template names'!#REF!</definedName>
    <definedName name="S71L" localSheetId="4">'[1]Template names'!#REF!</definedName>
    <definedName name="S71L">'Template names'!$B$89</definedName>
    <definedName name="S71M" localSheetId="1">'Template names'!#REF!</definedName>
    <definedName name="S71M" localSheetId="4">'[1]Template names'!#REF!</definedName>
    <definedName name="S71M">'Template names'!$B$90</definedName>
    <definedName name="S71N" localSheetId="1">'Template names'!#REF!</definedName>
    <definedName name="S71N" localSheetId="4">'[1]Template names'!#REF!</definedName>
    <definedName name="S71N">'Template names'!$B$91</definedName>
    <definedName name="S71O" localSheetId="1">'Template names'!#REF!</definedName>
    <definedName name="S71O" localSheetId="4">'[1]Template names'!#REF!</definedName>
    <definedName name="S71O">'Template names'!$B$92</definedName>
    <definedName name="S71P" localSheetId="1">'Template names'!#REF!</definedName>
    <definedName name="S71P" localSheetId="4">'[1]Template names'!#REF!</definedName>
    <definedName name="S71P">'Template names'!$B$93</definedName>
    <definedName name="S71Q" localSheetId="1">'Template names'!#REF!</definedName>
    <definedName name="S71Q" localSheetId="4">'[1]Template names'!#REF!</definedName>
    <definedName name="S71Q">'Template names'!$B$94</definedName>
    <definedName name="S71R">'Template names'!$B$95</definedName>
    <definedName name="S71Sa">'Template names'!$B$96</definedName>
    <definedName name="S71Sb">'Template names'!$B$97</definedName>
    <definedName name="S71Sc">'Template names'!$B$98</definedName>
    <definedName name="S71Sd">'Template names'!$B$99</definedName>
    <definedName name="S71SDBIP" localSheetId="1">'Template names'!#REF!</definedName>
    <definedName name="S71SDBIP" localSheetId="4">'[1]Template names'!#REF!</definedName>
    <definedName name="S71SDBIP" localSheetId="32">'Template names'!#REF!</definedName>
    <definedName name="S71SDBIP" localSheetId="33">'Template names'!#REF!</definedName>
    <definedName name="S71SDBIP" localSheetId="23">'Template names'!#REF!</definedName>
    <definedName name="S71SDBIP">'Template names'!#REF!</definedName>
    <definedName name="S71Se">'Template names'!$F$100</definedName>
    <definedName name="s71sum" localSheetId="1">'Template names'!#REF!</definedName>
    <definedName name="s71sum" localSheetId="4">'[1]Template names'!#REF!</definedName>
    <definedName name="s71sum">'Template names'!$B$77</definedName>
    <definedName name="S71T">'Template names'!$B$107</definedName>
    <definedName name="Scale" localSheetId="4">'[1]Compliance assessment'!$L$77</definedName>
    <definedName name="Scale" localSheetId="32">'Template names'!#REF!</definedName>
    <definedName name="Scale" localSheetId="33">'Template names'!#REF!</definedName>
    <definedName name="Scale" localSheetId="23">'Template names'!#REF!</definedName>
    <definedName name="Scale">'Template names'!#REF!</definedName>
    <definedName name="scenario" localSheetId="1">#REF!</definedName>
    <definedName name="scenario" localSheetId="4">#REF!</definedName>
    <definedName name="scenario" localSheetId="32">#REF!</definedName>
    <definedName name="scenario" localSheetId="33">#REF!</definedName>
    <definedName name="scenario" localSheetId="23">#REF!</definedName>
    <definedName name="scenario">#REF!</definedName>
    <definedName name="Sch1a" localSheetId="32">'Template names'!#REF!</definedName>
    <definedName name="Sch1a" localSheetId="33">'Template names'!#REF!</definedName>
    <definedName name="Sch1a" localSheetId="23">'Template names'!#REF!</definedName>
    <definedName name="Sch1a">'Template names'!#REF!</definedName>
    <definedName name="Sch2N" localSheetId="32">'Template names'!#REF!</definedName>
    <definedName name="Sch2N" localSheetId="33">'Template names'!#REF!</definedName>
    <definedName name="Sch2N" localSheetId="23">'Template names'!#REF!</definedName>
    <definedName name="Sch2N">'Template names'!#REF!</definedName>
    <definedName name="Sch5N" localSheetId="32">'Template names'!#REF!</definedName>
    <definedName name="Sch5N" localSheetId="33">'Template names'!#REF!</definedName>
    <definedName name="Sch5N" localSheetId="23">'Template names'!#REF!</definedName>
    <definedName name="Sch5N">'Template names'!#REF!</definedName>
    <definedName name="Sch7N" localSheetId="32">'Template names'!#REF!</definedName>
    <definedName name="Sch7N" localSheetId="33">'Template names'!#REF!</definedName>
    <definedName name="Sch7N" localSheetId="23">'Template names'!#REF!</definedName>
    <definedName name="Sch7N">'Template names'!#REF!</definedName>
    <definedName name="SDBIP1" localSheetId="1">'Template names'!#REF!</definedName>
    <definedName name="SDBIP1" localSheetId="4">'[1]Template names'!#REF!</definedName>
    <definedName name="SDBIP1" localSheetId="32">'Template names'!#REF!</definedName>
    <definedName name="SDBIP1" localSheetId="33">'Template names'!#REF!</definedName>
    <definedName name="SDBIP1" localSheetId="23">'Template names'!#REF!</definedName>
    <definedName name="SDBIP1">'Template names'!#REF!</definedName>
    <definedName name="SDBIP10" localSheetId="1">'Template names'!#REF!</definedName>
    <definedName name="SDBIP10" localSheetId="4">'[1]Template names'!#REF!</definedName>
    <definedName name="SDBIP10" localSheetId="32">'Template names'!#REF!</definedName>
    <definedName name="SDBIP10" localSheetId="33">'Template names'!#REF!</definedName>
    <definedName name="SDBIP10" localSheetId="23">'Template names'!#REF!</definedName>
    <definedName name="SDBIP10">'Template names'!#REF!</definedName>
    <definedName name="SDBIP2" localSheetId="1">'Template names'!#REF!</definedName>
    <definedName name="SDBIP2" localSheetId="4">'[1]Template names'!#REF!</definedName>
    <definedName name="SDBIP2" localSheetId="32">'Template names'!#REF!</definedName>
    <definedName name="SDBIP2" localSheetId="33">'Template names'!#REF!</definedName>
    <definedName name="SDBIP2" localSheetId="23">'Template names'!#REF!</definedName>
    <definedName name="SDBIP2">'Template names'!#REF!</definedName>
    <definedName name="SDBIP3" localSheetId="1">'Template names'!#REF!</definedName>
    <definedName name="SDBIP3" localSheetId="4">'[1]Template names'!#REF!</definedName>
    <definedName name="SDBIP3" localSheetId="32">'Template names'!#REF!</definedName>
    <definedName name="SDBIP3" localSheetId="33">'Template names'!#REF!</definedName>
    <definedName name="SDBIP3" localSheetId="23">'Template names'!#REF!</definedName>
    <definedName name="SDBIP3">'Template names'!#REF!</definedName>
    <definedName name="SDBIP4" localSheetId="1">'Template names'!#REF!</definedName>
    <definedName name="SDBIP4" localSheetId="4">'[1]Template names'!#REF!</definedName>
    <definedName name="SDBIP4" localSheetId="32">'Template names'!#REF!</definedName>
    <definedName name="SDBIP4" localSheetId="33">'Template names'!#REF!</definedName>
    <definedName name="SDBIP4" localSheetId="23">'Template names'!#REF!</definedName>
    <definedName name="SDBIP4">'Template names'!#REF!</definedName>
    <definedName name="SDBIP8" localSheetId="1">'Template names'!#REF!</definedName>
    <definedName name="SDBIP8" localSheetId="4">'[1]Template names'!#REF!</definedName>
    <definedName name="SDBIP8" localSheetId="32">'Template names'!#REF!</definedName>
    <definedName name="SDBIP8" localSheetId="33">'Template names'!#REF!</definedName>
    <definedName name="SDBIP8" localSheetId="23">'Template names'!#REF!</definedName>
    <definedName name="SDBIP8">'Template names'!#REF!</definedName>
    <definedName name="sdcred06" localSheetId="1">#REF!</definedName>
    <definedName name="sdcred06" localSheetId="4">#REF!</definedName>
    <definedName name="sdcred06" localSheetId="33">#REF!</definedName>
    <definedName name="sdcred06">#REF!</definedName>
    <definedName name="SFPerf1">'Template names'!$B$65</definedName>
    <definedName name="SFPerf2" localSheetId="4">'[1]Template names'!$B$65</definedName>
    <definedName name="SFPerf2">'Template names'!$B$66</definedName>
    <definedName name="SFpos1">'Template names'!$B$67</definedName>
    <definedName name="SFpos2">'Template names'!$B$68</definedName>
    <definedName name="TabC19" localSheetId="32">'Template names'!#REF!</definedName>
    <definedName name="TabC19" localSheetId="33">'Template names'!#REF!</definedName>
    <definedName name="TabC19" localSheetId="23">'Template names'!#REF!</definedName>
    <definedName name="TabC19">'Template names'!#REF!</definedName>
    <definedName name="TabC3" localSheetId="1">'Template names'!#REF!</definedName>
    <definedName name="TabC3" localSheetId="4">'[1]Template names'!#REF!</definedName>
    <definedName name="TabC3" localSheetId="32">'Template names'!#REF!</definedName>
    <definedName name="TabC3" localSheetId="33">'Template names'!#REF!</definedName>
    <definedName name="TabC3" localSheetId="23">'Template names'!#REF!</definedName>
    <definedName name="TabC3">'Template names'!#REF!</definedName>
    <definedName name="TabC4" localSheetId="1">'Template names'!#REF!</definedName>
    <definedName name="TabC4" localSheetId="4">'[1]Template names'!#REF!</definedName>
    <definedName name="TabC4" localSheetId="32">'Template names'!#REF!</definedName>
    <definedName name="TabC4" localSheetId="33">'Template names'!#REF!</definedName>
    <definedName name="TabC4" localSheetId="23">'Template names'!#REF!</definedName>
    <definedName name="TabC4">'Template names'!#REF!</definedName>
    <definedName name="TabC5" localSheetId="1">'Template names'!#REF!</definedName>
    <definedName name="TabC5" localSheetId="4">'[1]Template names'!#REF!</definedName>
    <definedName name="TabC5" localSheetId="32">'Template names'!#REF!</definedName>
    <definedName name="TabC5" localSheetId="33">'Template names'!#REF!</definedName>
    <definedName name="TabC5" localSheetId="23">'Template names'!#REF!</definedName>
    <definedName name="TabC5">'Template names'!#REF!</definedName>
    <definedName name="TabC6" localSheetId="1">'Template names'!#REF!</definedName>
    <definedName name="TabC6" localSheetId="4">'[1]Template names'!#REF!</definedName>
    <definedName name="TabC6" localSheetId="32">'Template names'!#REF!</definedName>
    <definedName name="TabC6" localSheetId="33">'Template names'!#REF!</definedName>
    <definedName name="TabC6" localSheetId="23">'Template names'!#REF!</definedName>
    <definedName name="TabC6">'Template names'!#REF!</definedName>
    <definedName name="Tabc7" localSheetId="1">'Template names'!#REF!</definedName>
    <definedName name="Tabc7" localSheetId="4">'[1]Template names'!#REF!</definedName>
    <definedName name="Tabc7" localSheetId="32">'Template names'!#REF!</definedName>
    <definedName name="Tabc7" localSheetId="33">'Template names'!#REF!</definedName>
    <definedName name="Tabc7" localSheetId="23">'Template names'!#REF!</definedName>
    <definedName name="Tabc7">'Template names'!#REF!</definedName>
    <definedName name="Tabc8" localSheetId="1">'Template names'!#REF!</definedName>
    <definedName name="Tabc8" localSheetId="4">'[1]Template names'!#REF!</definedName>
    <definedName name="Tabc8" localSheetId="32">'Template names'!#REF!</definedName>
    <definedName name="Tabc8" localSheetId="33">'Template names'!#REF!</definedName>
    <definedName name="Tabc8" localSheetId="23">'Template names'!#REF!</definedName>
    <definedName name="Tabc8">'Template names'!#REF!</definedName>
    <definedName name="Tabc9" localSheetId="1">'Template names'!#REF!</definedName>
    <definedName name="Tabc9" localSheetId="4">'[1]Template names'!#REF!</definedName>
    <definedName name="Tabc9" localSheetId="32">'Template names'!#REF!</definedName>
    <definedName name="Tabc9" localSheetId="33">'Template names'!#REF!</definedName>
    <definedName name="Tabc9" localSheetId="23">'Template names'!#REF!</definedName>
    <definedName name="Tabc9">'Template names'!#REF!</definedName>
    <definedName name="Tablc8" localSheetId="1">'Template names'!#REF!</definedName>
    <definedName name="Tablc8" localSheetId="4">'[1]Template names'!#REF!</definedName>
    <definedName name="Tablc8" localSheetId="32">'Template names'!#REF!</definedName>
    <definedName name="Tablc8" localSheetId="33">'Template names'!#REF!</definedName>
    <definedName name="Tablc8" localSheetId="23">'Template names'!#REF!</definedName>
    <definedName name="Tablc8">'Template names'!#REF!</definedName>
    <definedName name="Table1" localSheetId="32">'Template names'!#REF!</definedName>
    <definedName name="Table1" localSheetId="33">'Template names'!#REF!</definedName>
    <definedName name="Table1" localSheetId="23">'Template names'!#REF!</definedName>
    <definedName name="Table1">'Template names'!#REF!</definedName>
    <definedName name="Table10" localSheetId="32">'Template names'!#REF!</definedName>
    <definedName name="Table10" localSheetId="33">'Template names'!#REF!</definedName>
    <definedName name="Table10" localSheetId="23">'Template names'!#REF!</definedName>
    <definedName name="Table10">'Template names'!#REF!</definedName>
    <definedName name="Table11" localSheetId="32">'Template names'!#REF!</definedName>
    <definedName name="Table11" localSheetId="33">'Template names'!#REF!</definedName>
    <definedName name="Table11" localSheetId="23">'Template names'!#REF!</definedName>
    <definedName name="Table11">'Template names'!#REF!</definedName>
    <definedName name="Table12" localSheetId="32">'Template names'!#REF!</definedName>
    <definedName name="Table12" localSheetId="33">'Template names'!#REF!</definedName>
    <definedName name="Table12" localSheetId="23">'Template names'!#REF!</definedName>
    <definedName name="Table12">'Template names'!#REF!</definedName>
    <definedName name="Table13" localSheetId="32">'Template names'!#REF!</definedName>
    <definedName name="Table13" localSheetId="33">'Template names'!#REF!</definedName>
    <definedName name="Table13" localSheetId="23">'Template names'!#REF!</definedName>
    <definedName name="Table13">'Template names'!#REF!</definedName>
    <definedName name="Table14" localSheetId="32">'Template names'!#REF!</definedName>
    <definedName name="Table14" localSheetId="33">'Template names'!#REF!</definedName>
    <definedName name="Table14" localSheetId="23">'Template names'!#REF!</definedName>
    <definedName name="Table14">'Template names'!#REF!</definedName>
    <definedName name="Table14A" localSheetId="32">'Template names'!#REF!</definedName>
    <definedName name="Table14A" localSheetId="33">'Template names'!#REF!</definedName>
    <definedName name="Table14A" localSheetId="23">'Template names'!#REF!</definedName>
    <definedName name="Table14A">'Template names'!#REF!</definedName>
    <definedName name="Table14B" localSheetId="32">'Template names'!#REF!</definedName>
    <definedName name="Table14B" localSheetId="33">'Template names'!#REF!</definedName>
    <definedName name="Table14B" localSheetId="23">'Template names'!#REF!</definedName>
    <definedName name="Table14B">'Template names'!#REF!</definedName>
    <definedName name="Table15" localSheetId="32">'Template names'!#REF!</definedName>
    <definedName name="Table15" localSheetId="33">'Template names'!#REF!</definedName>
    <definedName name="Table15" localSheetId="23">'Template names'!#REF!</definedName>
    <definedName name="Table15">'Template names'!#REF!</definedName>
    <definedName name="Table15A" localSheetId="32">'Template names'!#REF!</definedName>
    <definedName name="Table15A" localSheetId="33">'Template names'!#REF!</definedName>
    <definedName name="Table15A" localSheetId="23">'Template names'!#REF!</definedName>
    <definedName name="Table15A">'Template names'!#REF!</definedName>
    <definedName name="Table15New" localSheetId="32">'Template names'!#REF!</definedName>
    <definedName name="Table15New" localSheetId="33">'Template names'!#REF!</definedName>
    <definedName name="Table15New" localSheetId="23">'Template names'!#REF!</definedName>
    <definedName name="Table15New">'Template names'!#REF!</definedName>
    <definedName name="Table16" localSheetId="32">'Template names'!#REF!</definedName>
    <definedName name="Table16" localSheetId="33">'Template names'!#REF!</definedName>
    <definedName name="Table16" localSheetId="23">'Template names'!#REF!</definedName>
    <definedName name="Table16">'Template names'!#REF!</definedName>
    <definedName name="Table17" localSheetId="32">'Template names'!#REF!</definedName>
    <definedName name="Table17" localSheetId="33">'Template names'!#REF!</definedName>
    <definedName name="Table17" localSheetId="23">'Template names'!#REF!</definedName>
    <definedName name="Table17">'Template names'!#REF!</definedName>
    <definedName name="Table18" localSheetId="32">'Template names'!#REF!</definedName>
    <definedName name="Table18" localSheetId="33">'Template names'!#REF!</definedName>
    <definedName name="Table18" localSheetId="23">'Template names'!#REF!</definedName>
    <definedName name="Table18">'Template names'!#REF!</definedName>
    <definedName name="Table19" localSheetId="32">'Template names'!#REF!</definedName>
    <definedName name="Table19" localSheetId="33">'Template names'!#REF!</definedName>
    <definedName name="Table19" localSheetId="23">'Template names'!#REF!</definedName>
    <definedName name="Table19">'Template names'!#REF!</definedName>
    <definedName name="Table2" localSheetId="32">'Template names'!#REF!</definedName>
    <definedName name="Table2" localSheetId="33">'Template names'!#REF!</definedName>
    <definedName name="Table2" localSheetId="23">'Template names'!#REF!</definedName>
    <definedName name="Table2">'Template names'!#REF!</definedName>
    <definedName name="Table20" localSheetId="32">'Template names'!#REF!</definedName>
    <definedName name="Table20" localSheetId="33">'Template names'!#REF!</definedName>
    <definedName name="Table20" localSheetId="23">'Template names'!#REF!</definedName>
    <definedName name="Table20">'Template names'!#REF!</definedName>
    <definedName name="Table21" localSheetId="32">'Template names'!#REF!</definedName>
    <definedName name="Table21" localSheetId="33">'Template names'!#REF!</definedName>
    <definedName name="Table21" localSheetId="23">'Template names'!#REF!</definedName>
    <definedName name="Table21">'Template names'!#REF!</definedName>
    <definedName name="Table22" localSheetId="32">'Template names'!#REF!</definedName>
    <definedName name="Table22" localSheetId="33">'Template names'!#REF!</definedName>
    <definedName name="Table22" localSheetId="23">'Template names'!#REF!</definedName>
    <definedName name="Table22">'Template names'!#REF!</definedName>
    <definedName name="Table23" localSheetId="32">'Template names'!#REF!</definedName>
    <definedName name="Table23" localSheetId="33">'Template names'!#REF!</definedName>
    <definedName name="Table23" localSheetId="23">'Template names'!#REF!</definedName>
    <definedName name="Table23">'Template names'!#REF!</definedName>
    <definedName name="Table24" localSheetId="32">'Template names'!#REF!</definedName>
    <definedName name="Table24" localSheetId="33">'Template names'!#REF!</definedName>
    <definedName name="Table24" localSheetId="23">'Template names'!#REF!</definedName>
    <definedName name="Table24">'Template names'!#REF!</definedName>
    <definedName name="Table24A" localSheetId="32">'Template names'!#REF!</definedName>
    <definedName name="Table24A" localSheetId="33">'Template names'!#REF!</definedName>
    <definedName name="Table24A" localSheetId="23">'Template names'!#REF!</definedName>
    <definedName name="Table24A">'Template names'!#REF!</definedName>
    <definedName name="Table25" localSheetId="32">'Template names'!#REF!</definedName>
    <definedName name="Table25" localSheetId="33">'Template names'!#REF!</definedName>
    <definedName name="Table25" localSheetId="23">'Template names'!#REF!</definedName>
    <definedName name="Table25">'Template names'!#REF!</definedName>
    <definedName name="Table26" localSheetId="32">'Template names'!#REF!</definedName>
    <definedName name="Table26" localSheetId="33">'Template names'!#REF!</definedName>
    <definedName name="Table26" localSheetId="23">'Template names'!#REF!</definedName>
    <definedName name="Table26">'Template names'!#REF!</definedName>
    <definedName name="Table27" localSheetId="32">'Template names'!#REF!</definedName>
    <definedName name="Table27" localSheetId="33">'Template names'!#REF!</definedName>
    <definedName name="Table27" localSheetId="23">'Template names'!#REF!</definedName>
    <definedName name="Table27">'Template names'!#REF!</definedName>
    <definedName name="Table28" localSheetId="32">'Template names'!#REF!</definedName>
    <definedName name="Table28" localSheetId="33">'Template names'!#REF!</definedName>
    <definedName name="Table28" localSheetId="23">'Template names'!#REF!</definedName>
    <definedName name="Table28">'Template names'!#REF!</definedName>
    <definedName name="Table29" localSheetId="32">'Template names'!#REF!</definedName>
    <definedName name="Table29" localSheetId="33">'Template names'!#REF!</definedName>
    <definedName name="Table29" localSheetId="23">'Template names'!#REF!</definedName>
    <definedName name="Table29">'Template names'!#REF!</definedName>
    <definedName name="Table3" localSheetId="32">'Template names'!#REF!</definedName>
    <definedName name="Table3" localSheetId="33">'Template names'!#REF!</definedName>
    <definedName name="Table3" localSheetId="23">'Template names'!#REF!</definedName>
    <definedName name="Table3">'Template names'!#REF!</definedName>
    <definedName name="Table30" localSheetId="32">'Template names'!#REF!</definedName>
    <definedName name="Table30" localSheetId="33">'Template names'!#REF!</definedName>
    <definedName name="Table30" localSheetId="23">'Template names'!#REF!</definedName>
    <definedName name="Table30">'Template names'!#REF!</definedName>
    <definedName name="Table31" localSheetId="32">'Template names'!#REF!</definedName>
    <definedName name="Table31" localSheetId="33">'Template names'!#REF!</definedName>
    <definedName name="Table31" localSheetId="23">'Template names'!#REF!</definedName>
    <definedName name="Table31">'Template names'!#REF!</definedName>
    <definedName name="Table32" localSheetId="32">'Template names'!#REF!</definedName>
    <definedName name="Table32" localSheetId="33">'Template names'!#REF!</definedName>
    <definedName name="Table32" localSheetId="23">'Template names'!#REF!</definedName>
    <definedName name="Table32">'Template names'!#REF!</definedName>
    <definedName name="Table33" localSheetId="32">'Template names'!#REF!</definedName>
    <definedName name="Table33" localSheetId="33">'Template names'!#REF!</definedName>
    <definedName name="Table33" localSheetId="23">'Template names'!#REF!</definedName>
    <definedName name="Table33">'Template names'!#REF!</definedName>
    <definedName name="Table4" localSheetId="32">'Template names'!#REF!</definedName>
    <definedName name="Table4" localSheetId="33">'Template names'!#REF!</definedName>
    <definedName name="Table4" localSheetId="23">'Template names'!#REF!</definedName>
    <definedName name="Table4">'Template names'!#REF!</definedName>
    <definedName name="Table5" localSheetId="32">'Template names'!#REF!</definedName>
    <definedName name="Table5" localSheetId="33">'Template names'!#REF!</definedName>
    <definedName name="Table5" localSheetId="23">'Template names'!#REF!</definedName>
    <definedName name="Table5">'Template names'!#REF!</definedName>
    <definedName name="Table6" localSheetId="32">'Template names'!#REF!</definedName>
    <definedName name="Table6" localSheetId="33">'Template names'!#REF!</definedName>
    <definedName name="Table6" localSheetId="23">'Template names'!#REF!</definedName>
    <definedName name="Table6">'Template names'!#REF!</definedName>
    <definedName name="Table7" localSheetId="32">'Template names'!#REF!</definedName>
    <definedName name="Table7" localSheetId="33">'Template names'!#REF!</definedName>
    <definedName name="Table7" localSheetId="23">'Template names'!#REF!</definedName>
    <definedName name="Table7">'Template names'!#REF!</definedName>
    <definedName name="Table8" localSheetId="32">'Template names'!#REF!</definedName>
    <definedName name="Table8" localSheetId="33">'Template names'!#REF!</definedName>
    <definedName name="Table8" localSheetId="23">'Template names'!#REF!</definedName>
    <definedName name="Table8">'Template names'!#REF!</definedName>
    <definedName name="Table9" localSheetId="32">'Template names'!#REF!</definedName>
    <definedName name="Table9" localSheetId="33">'Template names'!#REF!</definedName>
    <definedName name="Table9" localSheetId="23">'Template names'!#REF!</definedName>
    <definedName name="Table9">'Template names'!#REF!</definedName>
    <definedName name="TableA1">'[1]Template names'!$B$111</definedName>
    <definedName name="TableA10">'[1]Template names'!$B$120</definedName>
    <definedName name="TableA11">'[1]Template names'!$B$121</definedName>
    <definedName name="TableA12a">'[1]Template names'!$B$122</definedName>
    <definedName name="TableA12b">'[1]Template names'!$B$123</definedName>
    <definedName name="TableA13">'[1]Template names'!$B$124</definedName>
    <definedName name="TableA14">'[1]Template names'!$B$125</definedName>
    <definedName name="TableA15">'[1]Template names'!$B$126</definedName>
    <definedName name="TableA16">'[1]Template names'!$B$127</definedName>
    <definedName name="TableA17">'[1]Template names'!$B$128</definedName>
    <definedName name="TableA18">'[1]Template names'!$B$129</definedName>
    <definedName name="TableA19">'[1]Template names'!$B$130</definedName>
    <definedName name="TableA2">'[1]Template names'!$B$112</definedName>
    <definedName name="TableA20">'[1]Template names'!$B$131</definedName>
    <definedName name="TableA21">'[1]Template names'!$B$132</definedName>
    <definedName name="TableA22">'[1]Template names'!$B$133</definedName>
    <definedName name="TableA23">'[1]Template names'!$B$134</definedName>
    <definedName name="TableA24">'[1]Template names'!$B$135</definedName>
    <definedName name="TableA25">'[1]Template names'!$B$136</definedName>
    <definedName name="TableA26">'[1]Template names'!$B$137</definedName>
    <definedName name="TableA27">'[1]Template names'!$B$138</definedName>
    <definedName name="TableA28">'[1]Template names'!$B$139</definedName>
    <definedName name="TableA29">'[1]Template names'!$B$140</definedName>
    <definedName name="TableA3">'[1]Template names'!$B$113</definedName>
    <definedName name="TableA30">'[1]Template names'!$B$141</definedName>
    <definedName name="TableA31">'[1]Template names'!$B$142</definedName>
    <definedName name="TableA32">'[1]Template names'!$B$143</definedName>
    <definedName name="TableA33">'[1]Template names'!$B$144</definedName>
    <definedName name="TableA34a">'[1]Template names'!$B$145</definedName>
    <definedName name="TableA34b">'[1]Template names'!$B$146</definedName>
    <definedName name="TableA34c">'[1]Template names'!$B$147</definedName>
    <definedName name="TableA34d">'[1]Template names'!$B$148</definedName>
    <definedName name="TableA35">'[1]Template names'!$B$149</definedName>
    <definedName name="TableA36">'[1]Template names'!$B$150</definedName>
    <definedName name="TableA37">'[1]Template names'!$B$151</definedName>
    <definedName name="TableA4">'[1]Template names'!$B$114</definedName>
    <definedName name="TableA5">'[1]Template names'!$B$115</definedName>
    <definedName name="TableA6">'[1]Template names'!$B$116</definedName>
    <definedName name="TableA7">'[1]Template names'!$B$117</definedName>
    <definedName name="TableA8">'[1]Template names'!$B$118</definedName>
    <definedName name="TableA9" localSheetId="4">'[1]Template names'!$B$119</definedName>
    <definedName name="TableA9">'[5]Template names'!$B$119</definedName>
    <definedName name="TableD7" localSheetId="1">'Template names'!#REF!</definedName>
    <definedName name="TableD7" localSheetId="4">'[1]Template names'!#REF!</definedName>
    <definedName name="TableD7" localSheetId="32">'Template names'!#REF!</definedName>
    <definedName name="TableD7" localSheetId="33">'Template names'!#REF!</definedName>
    <definedName name="TableD7" localSheetId="23">'Template names'!#REF!</definedName>
    <definedName name="TableD7">'Template names'!#REF!</definedName>
    <definedName name="TableD8" localSheetId="1">'Template names'!#REF!</definedName>
    <definedName name="TableD8" localSheetId="4">'[1]Template names'!#REF!</definedName>
    <definedName name="TableD8" localSheetId="32">'Template names'!#REF!</definedName>
    <definedName name="TableD8" localSheetId="33">'Template names'!#REF!</definedName>
    <definedName name="TableD8" localSheetId="23">'Template names'!#REF!</definedName>
    <definedName name="TableD8">'Template names'!#REF!</definedName>
    <definedName name="TableE4" localSheetId="1">'Template names'!#REF!</definedName>
    <definedName name="TableE4" localSheetId="4">'[1]Template names'!#REF!</definedName>
    <definedName name="TableE4" localSheetId="32">'Template names'!#REF!</definedName>
    <definedName name="TableE4" localSheetId="33">'Template names'!#REF!</definedName>
    <definedName name="TableE4" localSheetId="23">'Template names'!#REF!</definedName>
    <definedName name="TableE4">'Template names'!#REF!</definedName>
    <definedName name="TableE7" localSheetId="1">'Template names'!#REF!</definedName>
    <definedName name="TableE7" localSheetId="4">'[1]Template names'!#REF!</definedName>
    <definedName name="TableE7" localSheetId="32">'Template names'!#REF!</definedName>
    <definedName name="TableE7" localSheetId="33">'Template names'!#REF!</definedName>
    <definedName name="TableE7" localSheetId="23">'Template names'!#REF!</definedName>
    <definedName name="TableE7">'Template names'!#REF!</definedName>
    <definedName name="TableE9" localSheetId="1">'Template names'!#REF!</definedName>
    <definedName name="TableE9" localSheetId="4">'[1]Template names'!#REF!</definedName>
    <definedName name="TableE9" localSheetId="32">'Template names'!#REF!</definedName>
    <definedName name="TableE9" localSheetId="33">'Template names'!#REF!</definedName>
    <definedName name="TableE9" localSheetId="23">'Template names'!#REF!</definedName>
    <definedName name="TableE9">'Template names'!#REF!</definedName>
    <definedName name="TableF6" localSheetId="1">'Template names'!#REF!</definedName>
    <definedName name="TableF6" localSheetId="4">'[1]Template names'!#REF!</definedName>
    <definedName name="TableF6" localSheetId="32">'Template names'!#REF!</definedName>
    <definedName name="TableF6" localSheetId="33">'Template names'!#REF!</definedName>
    <definedName name="TableF6" localSheetId="23">'Template names'!#REF!</definedName>
    <definedName name="TableF6">'Template names'!#REF!</definedName>
    <definedName name="tariffdisc05" localSheetId="1">#REF!</definedName>
    <definedName name="tariffdisc05" localSheetId="4">#REF!</definedName>
    <definedName name="tariffdisc05" localSheetId="32">#REF!</definedName>
    <definedName name="tariffdisc05" localSheetId="33">#REF!</definedName>
    <definedName name="tariffdisc05" localSheetId="23">#REF!</definedName>
    <definedName name="tariffdisc05">#REF!</definedName>
    <definedName name="tariffdisc06" localSheetId="1">#REF!</definedName>
    <definedName name="tariffdisc06" localSheetId="4">#REF!</definedName>
    <definedName name="tariffdisc06" localSheetId="33">#REF!</definedName>
    <definedName name="tariffdisc06">#REF!</definedName>
    <definedName name="tariffdisc07" localSheetId="1">#REF!</definedName>
    <definedName name="tariffdisc07" localSheetId="4">#REF!</definedName>
    <definedName name="tariffdisc07" localSheetId="33">#REF!</definedName>
    <definedName name="tariffdisc07">#REF!</definedName>
    <definedName name="tariffdisc08" localSheetId="1">#REF!</definedName>
    <definedName name="tariffdisc08" localSheetId="4">#REF!</definedName>
    <definedName name="tariffdisc08" localSheetId="33">#REF!</definedName>
    <definedName name="tariffdisc08">#REF!</definedName>
    <definedName name="tariffdisc09" localSheetId="1">#REF!</definedName>
    <definedName name="tariffdisc09" localSheetId="4">#REF!</definedName>
    <definedName name="tariffdisc09" localSheetId="33">#REF!</definedName>
    <definedName name="tariffdisc09">#REF!</definedName>
    <definedName name="tariffdisc10" localSheetId="1">#REF!</definedName>
    <definedName name="tariffdisc10" localSheetId="4">#REF!</definedName>
    <definedName name="tariffdisc10" localSheetId="33">#REF!</definedName>
    <definedName name="tariffdisc10">#REF!</definedName>
    <definedName name="tariffdisc11" localSheetId="1">#REF!</definedName>
    <definedName name="tariffdisc11" localSheetId="4">#REF!</definedName>
    <definedName name="tariffdisc11" localSheetId="33">#REF!</definedName>
    <definedName name="tariffdisc11">#REF!</definedName>
    <definedName name="tariffdisc12" localSheetId="1">#REF!</definedName>
    <definedName name="tariffdisc12" localSheetId="4">#REF!</definedName>
    <definedName name="tariffdisc12" localSheetId="33">#REF!</definedName>
    <definedName name="tariffdisc12">#REF!</definedName>
    <definedName name="tariffdisc13" localSheetId="1">#REF!</definedName>
    <definedName name="tariffdisc13" localSheetId="4">#REF!</definedName>
    <definedName name="tariffdisc13" localSheetId="33">#REF!</definedName>
    <definedName name="tariffdisc13">#REF!</definedName>
    <definedName name="tariffdisc14" localSheetId="1">#REF!</definedName>
    <definedName name="tariffdisc14" localSheetId="4">#REF!</definedName>
    <definedName name="tariffdisc14" localSheetId="33">#REF!</definedName>
    <definedName name="tariffdisc14">#REF!</definedName>
    <definedName name="tariffdisc15" localSheetId="1">#REF!</definedName>
    <definedName name="tariffdisc15" localSheetId="4">#REF!</definedName>
    <definedName name="tariffdisc15" localSheetId="33">#REF!</definedName>
    <definedName name="tariffdisc15">#REF!</definedName>
    <definedName name="tariffdisc16" localSheetId="1">#REF!</definedName>
    <definedName name="tariffdisc16" localSheetId="4">#REF!</definedName>
    <definedName name="tariffdisc16" localSheetId="33">#REF!</definedName>
    <definedName name="tariffdisc16">#REF!</definedName>
    <definedName name="tariffdisc17" localSheetId="1">#REF!</definedName>
    <definedName name="tariffdisc17" localSheetId="4">#REF!</definedName>
    <definedName name="tariffdisc17" localSheetId="33">#REF!</definedName>
    <definedName name="tariffdisc17">#REF!</definedName>
    <definedName name="tariffdisc18" localSheetId="1">#REF!</definedName>
    <definedName name="tariffdisc18" localSheetId="4">#REF!</definedName>
    <definedName name="tariffdisc18" localSheetId="33">#REF!</definedName>
    <definedName name="tariffdisc18">#REF!</definedName>
    <definedName name="tariffdisc19" localSheetId="1">#REF!</definedName>
    <definedName name="tariffdisc19" localSheetId="4">#REF!</definedName>
    <definedName name="tariffdisc19" localSheetId="33">#REF!</definedName>
    <definedName name="tariffdisc19">#REF!</definedName>
    <definedName name="tariffdisc20" localSheetId="1">#REF!</definedName>
    <definedName name="tariffdisc20" localSheetId="4">#REF!</definedName>
    <definedName name="tariffdisc20" localSheetId="33">#REF!</definedName>
    <definedName name="tariffdisc20">#REF!</definedName>
    <definedName name="title1" localSheetId="1">#REF!</definedName>
    <definedName name="title1" localSheetId="4">#REF!</definedName>
    <definedName name="title1" localSheetId="33">#REF!</definedName>
    <definedName name="title1">#REF!</definedName>
    <definedName name="Vdesc" localSheetId="4">'[1]Template names'!$B$32</definedName>
    <definedName name="Vdesc">'Template names'!$B$29</definedName>
    <definedName name="Vote" localSheetId="4">'Org structure'!$A$2:$A$16</definedName>
    <definedName name="Vote" localSheetId="33">#REF!</definedName>
    <definedName name="Vote">#REF!</definedName>
    <definedName name="Vote1" localSheetId="4">'Org structure'!$D$3:$D$12</definedName>
    <definedName name="Vote1" localSheetId="33">#REF!</definedName>
    <definedName name="Vote1">#REF!</definedName>
    <definedName name="Vote10" localSheetId="4">'Org structure'!$D$102:$D$111</definedName>
    <definedName name="Vote10" localSheetId="33">#REF!</definedName>
    <definedName name="Vote10">#REF!</definedName>
    <definedName name="Vote11" localSheetId="4">'Org structure'!$D$113:$D$122</definedName>
    <definedName name="Vote11" localSheetId="33">#REF!</definedName>
    <definedName name="Vote11">#REF!</definedName>
    <definedName name="Vote12" localSheetId="4">'Org structure'!$D$124:$D$133</definedName>
    <definedName name="Vote12" localSheetId="33">#REF!</definedName>
    <definedName name="Vote12">#REF!</definedName>
    <definedName name="Vote13" localSheetId="4">'Org structure'!$D$135:$D$144</definedName>
    <definedName name="Vote13" localSheetId="33">#REF!</definedName>
    <definedName name="Vote13">#REF!</definedName>
    <definedName name="Vote14" localSheetId="4">'Org structure'!$D$146:$D$155</definedName>
    <definedName name="Vote14" localSheetId="33">#REF!</definedName>
    <definedName name="Vote14">#REF!</definedName>
    <definedName name="Vote15" localSheetId="4">'Org structure'!$D$157:$D$166</definedName>
    <definedName name="Vote15" localSheetId="33">#REF!</definedName>
    <definedName name="Vote15">#REF!</definedName>
    <definedName name="Vote2" localSheetId="4">'Org structure'!$D$14:$D$23</definedName>
    <definedName name="Vote2" localSheetId="33">#REF!</definedName>
    <definedName name="Vote2">#REF!</definedName>
    <definedName name="Vote3" localSheetId="4">'Org structure'!$D$25:$D$34</definedName>
    <definedName name="Vote3" localSheetId="33">#REF!</definedName>
    <definedName name="Vote3">#REF!</definedName>
    <definedName name="Vote4" localSheetId="4">'Org structure'!$D$36:$D$45</definedName>
    <definedName name="Vote4" localSheetId="33">#REF!</definedName>
    <definedName name="Vote4">#REF!</definedName>
    <definedName name="Vote5" localSheetId="4">'Org structure'!$D$47:$D$56</definedName>
    <definedName name="Vote5" localSheetId="33">#REF!</definedName>
    <definedName name="Vote5">#REF!</definedName>
    <definedName name="Vote6" localSheetId="4">'Org structure'!$D$58:$D$67</definedName>
    <definedName name="Vote6" localSheetId="33">#REF!</definedName>
    <definedName name="Vote6">#REF!</definedName>
    <definedName name="Vote7" localSheetId="4">'Org structure'!$D$69:$D$78</definedName>
    <definedName name="Vote7" localSheetId="33">#REF!</definedName>
    <definedName name="Vote7">#REF!</definedName>
    <definedName name="Vote8" localSheetId="4">'Org structure'!$D$80:$D$89</definedName>
    <definedName name="Vote8" localSheetId="33">#REF!</definedName>
    <definedName name="Vote8">#REF!</definedName>
    <definedName name="Vote9" localSheetId="4">'Org structure'!$D$91:$D$100</definedName>
    <definedName name="Vote9" localSheetId="33">#REF!</definedName>
    <definedName name="Vote9">#REF!</definedName>
    <definedName name="YesNo">'Lookup and lists'!$V$2:$V$3</definedName>
    <definedName name="yrend">[3]Data!$B$3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1" i="317" l="1"/>
  <c r="G151" i="326" l="1"/>
  <c r="F151" i="326"/>
  <c r="H160" i="242"/>
  <c r="H73" i="268"/>
  <c r="H69" i="324"/>
  <c r="H157" i="242" l="1"/>
  <c r="H166" i="335" l="1"/>
  <c r="H165" i="335" s="1"/>
  <c r="H163" i="335"/>
  <c r="H162" i="335" s="1"/>
  <c r="H160" i="335"/>
  <c r="H159" i="335" s="1"/>
  <c r="H157" i="335"/>
  <c r="H156" i="335" s="1"/>
  <c r="H154" i="335"/>
  <c r="H153" i="335" s="1"/>
  <c r="H151" i="335"/>
  <c r="H150" i="335" s="1"/>
  <c r="H148" i="335"/>
  <c r="H147" i="335"/>
  <c r="H146" i="335"/>
  <c r="H145" i="335"/>
  <c r="H144" i="335"/>
  <c r="H143" i="335"/>
  <c r="H141" i="335"/>
  <c r="H138" i="335"/>
  <c r="H137" i="335" s="1"/>
  <c r="H135" i="335"/>
  <c r="H132" i="335" s="1"/>
  <c r="H134" i="335"/>
  <c r="H133" i="335"/>
  <c r="H131" i="335"/>
  <c r="H130" i="335"/>
  <c r="H129" i="335"/>
  <c r="H128" i="335"/>
  <c r="H127" i="335"/>
  <c r="H126" i="335"/>
  <c r="H125" i="335"/>
  <c r="H124" i="335"/>
  <c r="H123" i="335"/>
  <c r="H122" i="335"/>
  <c r="H121" i="335"/>
  <c r="H117" i="335"/>
  <c r="H116" i="335"/>
  <c r="H115" i="335" s="1"/>
  <c r="H114" i="335"/>
  <c r="H112" i="335" s="1"/>
  <c r="H113" i="335"/>
  <c r="H109" i="335"/>
  <c r="H108" i="335"/>
  <c r="H107" i="335"/>
  <c r="H106" i="335"/>
  <c r="H105" i="335"/>
  <c r="H102" i="335"/>
  <c r="H101" i="335"/>
  <c r="H100" i="335"/>
  <c r="H98" i="335"/>
  <c r="H97" i="335"/>
  <c r="H96" i="335"/>
  <c r="H95" i="335"/>
  <c r="H94" i="335"/>
  <c r="H93" i="335"/>
  <c r="H92" i="335"/>
  <c r="H91" i="335"/>
  <c r="H90" i="335"/>
  <c r="H89" i="335"/>
  <c r="H88" i="335"/>
  <c r="H87" i="335"/>
  <c r="H86" i="335"/>
  <c r="H85" i="335"/>
  <c r="H84" i="335"/>
  <c r="H83" i="335"/>
  <c r="H82" i="335"/>
  <c r="H81" i="335"/>
  <c r="H80" i="335"/>
  <c r="H79" i="335"/>
  <c r="H78" i="335"/>
  <c r="H77" i="335"/>
  <c r="H73" i="335"/>
  <c r="H72" i="335"/>
  <c r="H71" i="335"/>
  <c r="H70" i="335"/>
  <c r="H68" i="335"/>
  <c r="H67" i="335"/>
  <c r="H66" i="335"/>
  <c r="H65" i="335"/>
  <c r="H64" i="335"/>
  <c r="H62" i="335"/>
  <c r="H61" i="335"/>
  <c r="H60" i="335"/>
  <c r="H59" i="335"/>
  <c r="H58" i="335"/>
  <c r="H57" i="335"/>
  <c r="H56" i="335"/>
  <c r="H55" i="335"/>
  <c r="H54" i="335"/>
  <c r="H52" i="335"/>
  <c r="H51" i="335"/>
  <c r="H50" i="335"/>
  <c r="H49" i="335"/>
  <c r="H48" i="335"/>
  <c r="H47" i="335"/>
  <c r="H46" i="335"/>
  <c r="H44" i="335"/>
  <c r="H43" i="335"/>
  <c r="H42" i="335"/>
  <c r="H41" i="335"/>
  <c r="H40" i="335"/>
  <c r="H39" i="335"/>
  <c r="H37" i="335"/>
  <c r="H36" i="335"/>
  <c r="H35" i="335"/>
  <c r="H34" i="335"/>
  <c r="H33" i="335"/>
  <c r="H32" i="335"/>
  <c r="H31" i="335"/>
  <c r="H30" i="335"/>
  <c r="H29" i="335"/>
  <c r="H28" i="335"/>
  <c r="H26" i="335"/>
  <c r="H25" i="335"/>
  <c r="H24" i="335"/>
  <c r="H23" i="335"/>
  <c r="H22" i="335"/>
  <c r="H21" i="335"/>
  <c r="H20" i="335"/>
  <c r="H19" i="335"/>
  <c r="H18" i="335"/>
  <c r="H16" i="335"/>
  <c r="H15" i="335"/>
  <c r="H14" i="335"/>
  <c r="H13" i="335" s="1"/>
  <c r="H12" i="335"/>
  <c r="H11" i="335"/>
  <c r="H10" i="335"/>
  <c r="H9" i="335"/>
  <c r="H166" i="326"/>
  <c r="H165" i="326" s="1"/>
  <c r="H163" i="326"/>
  <c r="H162" i="326" s="1"/>
  <c r="H160" i="326"/>
  <c r="H159" i="326" s="1"/>
  <c r="H157" i="326"/>
  <c r="H156" i="326" s="1"/>
  <c r="H154" i="326"/>
  <c r="H153" i="326" s="1"/>
  <c r="H151" i="326"/>
  <c r="H150" i="326" s="1"/>
  <c r="H148" i="326"/>
  <c r="H147" i="326"/>
  <c r="H146" i="326"/>
  <c r="H145" i="326"/>
  <c r="H144" i="326"/>
  <c r="H143" i="326"/>
  <c r="H141" i="326"/>
  <c r="H138" i="326"/>
  <c r="H137" i="326" s="1"/>
  <c r="H135" i="326"/>
  <c r="H134" i="326"/>
  <c r="H133" i="326"/>
  <c r="H131" i="326"/>
  <c r="H130" i="326"/>
  <c r="H129" i="326"/>
  <c r="H128" i="326"/>
  <c r="H127" i="326"/>
  <c r="H126" i="326"/>
  <c r="H125" i="326"/>
  <c r="H124" i="326"/>
  <c r="H123" i="326"/>
  <c r="H122" i="326"/>
  <c r="H121" i="326"/>
  <c r="H117" i="326"/>
  <c r="H116" i="326"/>
  <c r="H114" i="326"/>
  <c r="H113" i="326"/>
  <c r="H109" i="326"/>
  <c r="H108" i="326"/>
  <c r="H107" i="326"/>
  <c r="H106" i="326"/>
  <c r="H105" i="326"/>
  <c r="H102" i="326"/>
  <c r="H101" i="326"/>
  <c r="H100" i="326"/>
  <c r="H98" i="326"/>
  <c r="H97" i="326"/>
  <c r="H96" i="326"/>
  <c r="H95" i="326"/>
  <c r="H94" i="326"/>
  <c r="H93" i="326"/>
  <c r="H92" i="326"/>
  <c r="H91" i="326"/>
  <c r="H90" i="326"/>
  <c r="H89" i="326"/>
  <c r="H88" i="326"/>
  <c r="H87" i="326"/>
  <c r="H86" i="326"/>
  <c r="H85" i="326"/>
  <c r="H84" i="326"/>
  <c r="H83" i="326"/>
  <c r="H82" i="326"/>
  <c r="H81" i="326"/>
  <c r="H80" i="326"/>
  <c r="H79" i="326"/>
  <c r="H78" i="326"/>
  <c r="H77" i="326"/>
  <c r="H73" i="326"/>
  <c r="H72" i="326"/>
  <c r="H71" i="326"/>
  <c r="H70" i="326"/>
  <c r="H68" i="326"/>
  <c r="H67" i="326"/>
  <c r="H66" i="326"/>
  <c r="H65" i="326"/>
  <c r="H64" i="326"/>
  <c r="H62" i="326"/>
  <c r="H61" i="326"/>
  <c r="H60" i="326"/>
  <c r="H59" i="326"/>
  <c r="H58" i="326"/>
  <c r="H57" i="326"/>
  <c r="H56" i="326"/>
  <c r="H55" i="326"/>
  <c r="H54" i="326"/>
  <c r="H52" i="326"/>
  <c r="H51" i="326"/>
  <c r="H50" i="326"/>
  <c r="H49" i="326"/>
  <c r="H48" i="326"/>
  <c r="H47" i="326"/>
  <c r="H46" i="326"/>
  <c r="H44" i="326"/>
  <c r="H43" i="326"/>
  <c r="H42" i="326"/>
  <c r="H41" i="326"/>
  <c r="H40" i="326"/>
  <c r="H39" i="326"/>
  <c r="H37" i="326"/>
  <c r="H36" i="326"/>
  <c r="H35" i="326"/>
  <c r="H34" i="326"/>
  <c r="H33" i="326"/>
  <c r="H32" i="326"/>
  <c r="H31" i="326"/>
  <c r="H30" i="326"/>
  <c r="H29" i="326"/>
  <c r="H28" i="326"/>
  <c r="H26" i="326"/>
  <c r="H25" i="326"/>
  <c r="H24" i="326"/>
  <c r="H23" i="326"/>
  <c r="H22" i="326"/>
  <c r="H21" i="326"/>
  <c r="H20" i="326"/>
  <c r="H19" i="326"/>
  <c r="H18" i="326"/>
  <c r="H16" i="326"/>
  <c r="H15" i="326"/>
  <c r="H14" i="326"/>
  <c r="H12" i="326"/>
  <c r="H11" i="326"/>
  <c r="H10" i="326"/>
  <c r="H9" i="326"/>
  <c r="H73" i="242"/>
  <c r="H72" i="242"/>
  <c r="H71" i="242"/>
  <c r="H70" i="242"/>
  <c r="H68" i="242"/>
  <c r="H67" i="242"/>
  <c r="H66" i="242"/>
  <c r="H65" i="242"/>
  <c r="H64" i="242"/>
  <c r="H62" i="242"/>
  <c r="H61" i="242"/>
  <c r="H60" i="242"/>
  <c r="H59" i="242"/>
  <c r="H58" i="242"/>
  <c r="H57" i="242"/>
  <c r="H56" i="242"/>
  <c r="H55" i="242"/>
  <c r="H54" i="242"/>
  <c r="H117" i="242"/>
  <c r="H116" i="242"/>
  <c r="H114" i="242"/>
  <c r="H113" i="242"/>
  <c r="H109" i="242"/>
  <c r="H108" i="242"/>
  <c r="H107" i="242"/>
  <c r="H106" i="242"/>
  <c r="H105" i="242"/>
  <c r="H135" i="242"/>
  <c r="H134" i="242"/>
  <c r="H133" i="242"/>
  <c r="H138" i="242"/>
  <c r="H141" i="242"/>
  <c r="H166" i="242"/>
  <c r="H163" i="242"/>
  <c r="H154" i="242"/>
  <c r="H151" i="242"/>
  <c r="H148" i="242"/>
  <c r="H147" i="242"/>
  <c r="H146" i="242"/>
  <c r="H145" i="242"/>
  <c r="H144" i="242"/>
  <c r="H143" i="242"/>
  <c r="H131" i="242"/>
  <c r="H130" i="242"/>
  <c r="H129" i="242"/>
  <c r="H128" i="242"/>
  <c r="H127" i="242"/>
  <c r="H126" i="242"/>
  <c r="H125" i="242"/>
  <c r="H124" i="242"/>
  <c r="H123" i="242"/>
  <c r="H122" i="242"/>
  <c r="H121" i="242"/>
  <c r="H102" i="242"/>
  <c r="H101" i="242"/>
  <c r="H100" i="242"/>
  <c r="H98" i="242"/>
  <c r="H97" i="242"/>
  <c r="H96" i="242"/>
  <c r="H95" i="242"/>
  <c r="H94" i="242"/>
  <c r="H93" i="242"/>
  <c r="H92" i="242"/>
  <c r="H91" i="242"/>
  <c r="H90" i="242"/>
  <c r="H89" i="242"/>
  <c r="H88" i="242"/>
  <c r="H87" i="242"/>
  <c r="H86" i="242"/>
  <c r="H85" i="242"/>
  <c r="H84" i="242"/>
  <c r="H83" i="242"/>
  <c r="H82" i="242"/>
  <c r="H81" i="242"/>
  <c r="H80" i="242"/>
  <c r="H79" i="242"/>
  <c r="H78" i="242"/>
  <c r="H77" i="242"/>
  <c r="H52" i="242"/>
  <c r="H51" i="242"/>
  <c r="H50" i="242"/>
  <c r="H49" i="242"/>
  <c r="H48" i="242"/>
  <c r="H47" i="242"/>
  <c r="H46" i="242"/>
  <c r="H44" i="242"/>
  <c r="H43" i="242"/>
  <c r="H42" i="242"/>
  <c r="H41" i="242"/>
  <c r="H40" i="242"/>
  <c r="H39" i="242"/>
  <c r="H37" i="242"/>
  <c r="H36" i="242"/>
  <c r="H35" i="242"/>
  <c r="H34" i="242"/>
  <c r="H33" i="242"/>
  <c r="H32" i="242"/>
  <c r="H31" i="242"/>
  <c r="H30" i="242"/>
  <c r="H29" i="242"/>
  <c r="H28" i="242"/>
  <c r="H26" i="242"/>
  <c r="H25" i="242"/>
  <c r="H24" i="242"/>
  <c r="H23" i="242"/>
  <c r="H22" i="242"/>
  <c r="H21" i="242"/>
  <c r="H20" i="242"/>
  <c r="H19" i="242"/>
  <c r="H18" i="242"/>
  <c r="H16" i="242"/>
  <c r="H15" i="242"/>
  <c r="H14" i="242"/>
  <c r="H12" i="242"/>
  <c r="H11" i="242"/>
  <c r="H10" i="242"/>
  <c r="H9" i="242"/>
  <c r="H72" i="268"/>
  <c r="H71" i="268"/>
  <c r="H69" i="268"/>
  <c r="H68" i="268"/>
  <c r="H67" i="268"/>
  <c r="H66" i="268"/>
  <c r="H62" i="268"/>
  <c r="H61" i="268"/>
  <c r="H59" i="268"/>
  <c r="H58" i="268"/>
  <c r="H56" i="268"/>
  <c r="H55" i="268"/>
  <c r="H54" i="268"/>
  <c r="H52" i="268"/>
  <c r="H51" i="268"/>
  <c r="H50" i="268"/>
  <c r="H49" i="268"/>
  <c r="H48" i="268"/>
  <c r="H46" i="268"/>
  <c r="H45" i="268"/>
  <c r="H44" i="268"/>
  <c r="H238" i="324"/>
  <c r="H237" i="324"/>
  <c r="H236" i="324"/>
  <c r="H235" i="324"/>
  <c r="H234" i="324"/>
  <c r="H233" i="324"/>
  <c r="H232" i="324"/>
  <c r="H229" i="324"/>
  <c r="H228" i="324"/>
  <c r="H227" i="324"/>
  <c r="H226" i="324"/>
  <c r="H225" i="324"/>
  <c r="H224" i="324"/>
  <c r="H223" i="324"/>
  <c r="H222" i="324"/>
  <c r="H221" i="324"/>
  <c r="H213" i="324"/>
  <c r="H212" i="324"/>
  <c r="H211" i="324"/>
  <c r="H210" i="324"/>
  <c r="H205" i="324"/>
  <c r="H204" i="324"/>
  <c r="H203" i="324"/>
  <c r="H202" i="324"/>
  <c r="H201" i="324"/>
  <c r="H200" i="324"/>
  <c r="H199" i="324"/>
  <c r="H193" i="324"/>
  <c r="H192" i="324"/>
  <c r="H191" i="324"/>
  <c r="H190" i="324"/>
  <c r="H189" i="324"/>
  <c r="H188" i="324"/>
  <c r="H178" i="324"/>
  <c r="H177" i="324"/>
  <c r="H68" i="324"/>
  <c r="H67" i="324"/>
  <c r="H66" i="324"/>
  <c r="H65" i="324"/>
  <c r="H64" i="324"/>
  <c r="H63" i="324"/>
  <c r="H60" i="324"/>
  <c r="H59" i="324"/>
  <c r="H58" i="324"/>
  <c r="H57" i="324"/>
  <c r="H56" i="324"/>
  <c r="H55" i="324"/>
  <c r="H54" i="324"/>
  <c r="H53" i="324"/>
  <c r="H52" i="324"/>
  <c r="H44" i="324"/>
  <c r="H43" i="324"/>
  <c r="H42" i="324"/>
  <c r="H41" i="324"/>
  <c r="H36" i="324"/>
  <c r="H35" i="324"/>
  <c r="H34" i="324"/>
  <c r="H33" i="324"/>
  <c r="H32" i="324"/>
  <c r="H31" i="324"/>
  <c r="H30" i="324"/>
  <c r="H24" i="324"/>
  <c r="H23" i="324"/>
  <c r="H22" i="324"/>
  <c r="H21" i="324"/>
  <c r="H20" i="324"/>
  <c r="H19" i="324"/>
  <c r="H9" i="324"/>
  <c r="H8" i="324"/>
  <c r="H142" i="326" l="1"/>
  <c r="H112" i="326"/>
  <c r="H69" i="335"/>
  <c r="H104" i="335"/>
  <c r="H76" i="326"/>
  <c r="H27" i="326"/>
  <c r="H120" i="335"/>
  <c r="H119" i="335" s="1"/>
  <c r="H111" i="335"/>
  <c r="H140" i="326"/>
  <c r="H13" i="326"/>
  <c r="H69" i="326"/>
  <c r="H76" i="335"/>
  <c r="H17" i="326"/>
  <c r="H99" i="326"/>
  <c r="H132" i="326"/>
  <c r="H53" i="335"/>
  <c r="H45" i="335"/>
  <c r="H142" i="335"/>
  <c r="H140" i="335" s="1"/>
  <c r="H8" i="335"/>
  <c r="H27" i="335"/>
  <c r="H63" i="335"/>
  <c r="H17" i="335"/>
  <c r="H38" i="335"/>
  <c r="H99" i="335"/>
  <c r="H63" i="326"/>
  <c r="H104" i="326"/>
  <c r="H53" i="326"/>
  <c r="H115" i="326"/>
  <c r="H111" i="326" s="1"/>
  <c r="H120" i="326"/>
  <c r="H45" i="326"/>
  <c r="H8" i="326"/>
  <c r="H38" i="326"/>
  <c r="H75" i="326" l="1"/>
  <c r="H75" i="335"/>
  <c r="H119" i="326"/>
  <c r="H7" i="335"/>
  <c r="H168" i="335" s="1"/>
  <c r="H7" i="326"/>
  <c r="C21" i="317" l="1"/>
  <c r="D21" i="317"/>
  <c r="E21" i="317"/>
  <c r="F21" i="317"/>
  <c r="G21" i="317"/>
  <c r="H21" i="317"/>
  <c r="I21" i="317"/>
  <c r="J21" i="317"/>
  <c r="K21" i="317"/>
  <c r="L21" i="317"/>
  <c r="F22" i="182" l="1"/>
  <c r="F41" i="334" l="1"/>
  <c r="F42" i="334"/>
  <c r="F43" i="334"/>
  <c r="F21" i="334"/>
  <c r="G21" i="334" s="1"/>
  <c r="A55" i="269"/>
  <c r="I233" i="324" l="1"/>
  <c r="I234" i="324"/>
  <c r="G151" i="330" l="1"/>
  <c r="F151" i="330"/>
  <c r="I25" i="269" l="1"/>
  <c r="J25" i="269" s="1"/>
  <c r="I26" i="269"/>
  <c r="J26" i="269" s="1"/>
  <c r="I32" i="269"/>
  <c r="J32" i="269" s="1"/>
  <c r="I33" i="269"/>
  <c r="J33" i="269" s="1"/>
  <c r="I34" i="269"/>
  <c r="J34" i="269" s="1"/>
  <c r="I35" i="269"/>
  <c r="J35" i="269" s="1"/>
  <c r="I36" i="269"/>
  <c r="J36" i="269" s="1"/>
  <c r="I37" i="269"/>
  <c r="J37" i="269" s="1"/>
  <c r="I49" i="270"/>
  <c r="J49" i="270" s="1"/>
  <c r="I50" i="270"/>
  <c r="J50" i="270" s="1"/>
  <c r="I51" i="270"/>
  <c r="J51" i="270" s="1"/>
  <c r="G7" i="330" l="1"/>
  <c r="F7" i="330"/>
  <c r="F7" i="241" s="1"/>
  <c r="C130" i="330"/>
  <c r="C30" i="241" s="1"/>
  <c r="C114" i="330"/>
  <c r="C24" i="241" s="1"/>
  <c r="C109" i="330"/>
  <c r="C23" i="241" s="1"/>
  <c r="C105" i="330"/>
  <c r="C22" i="241" s="1"/>
  <c r="C101" i="330"/>
  <c r="C21" i="241" s="1"/>
  <c r="C93" i="330"/>
  <c r="C19" i="241" s="1"/>
  <c r="C86" i="330"/>
  <c r="C18" i="241" s="1"/>
  <c r="C75" i="330"/>
  <c r="C66" i="330"/>
  <c r="C15" i="241" s="1"/>
  <c r="C56" i="330"/>
  <c r="C13" i="241" s="1"/>
  <c r="C28" i="330"/>
  <c r="C10" i="330"/>
  <c r="C8" i="241" s="1"/>
  <c r="C7" i="330"/>
  <c r="C7" i="241" s="1"/>
  <c r="H47" i="269"/>
  <c r="I24" i="269"/>
  <c r="J24" i="269" s="1"/>
  <c r="I23" i="269"/>
  <c r="J23" i="269" s="1"/>
  <c r="I22" i="269"/>
  <c r="J22" i="269" s="1"/>
  <c r="I21" i="269"/>
  <c r="J21" i="269" s="1"/>
  <c r="I20" i="269"/>
  <c r="J20" i="269" s="1"/>
  <c r="C24" i="270"/>
  <c r="A28" i="269"/>
  <c r="I33" i="270"/>
  <c r="J33" i="270" s="1"/>
  <c r="I34" i="270"/>
  <c r="J34" i="270" s="1"/>
  <c r="I35" i="270"/>
  <c r="J35" i="270" s="1"/>
  <c r="I36" i="270"/>
  <c r="I17" i="270"/>
  <c r="J17" i="270" s="1"/>
  <c r="I18" i="270"/>
  <c r="J18" i="270" s="1"/>
  <c r="I19" i="270"/>
  <c r="J19" i="270" s="1"/>
  <c r="I20" i="270"/>
  <c r="J20" i="270" s="1"/>
  <c r="I21" i="270"/>
  <c r="J21" i="270" s="1"/>
  <c r="I22" i="270"/>
  <c r="J22" i="270" s="1"/>
  <c r="I23" i="270"/>
  <c r="J23" i="270" s="1"/>
  <c r="I24" i="270"/>
  <c r="J24" i="270" s="1"/>
  <c r="I25" i="270"/>
  <c r="J25" i="270" s="1"/>
  <c r="I26" i="270"/>
  <c r="J26" i="270" s="1"/>
  <c r="I10" i="270"/>
  <c r="J10" i="270" s="1"/>
  <c r="I11" i="270"/>
  <c r="J11" i="270" s="1"/>
  <c r="I12" i="270"/>
  <c r="J12" i="270" s="1"/>
  <c r="I13" i="270"/>
  <c r="J13" i="270" s="1"/>
  <c r="I44" i="270"/>
  <c r="J44" i="270" s="1"/>
  <c r="I45" i="270"/>
  <c r="J45" i="270" s="1"/>
  <c r="F61" i="238"/>
  <c r="H61" i="238"/>
  <c r="I61" i="238"/>
  <c r="J61" i="238"/>
  <c r="C165" i="335"/>
  <c r="C162" i="335"/>
  <c r="C159" i="335"/>
  <c r="C156" i="335"/>
  <c r="C153" i="335"/>
  <c r="C150" i="335"/>
  <c r="C142" i="335"/>
  <c r="C140" i="335" s="1"/>
  <c r="C137" i="335"/>
  <c r="C132" i="335"/>
  <c r="C119" i="335" s="1"/>
  <c r="C120" i="335"/>
  <c r="C115" i="335"/>
  <c r="C112" i="335"/>
  <c r="C104" i="335"/>
  <c r="C99" i="335"/>
  <c r="C76" i="335"/>
  <c r="C69" i="335"/>
  <c r="C63" i="335"/>
  <c r="C53" i="335"/>
  <c r="C45" i="335"/>
  <c r="C38" i="335"/>
  <c r="C27" i="335"/>
  <c r="C17" i="335"/>
  <c r="C13" i="335"/>
  <c r="C8" i="335"/>
  <c r="C165" i="326"/>
  <c r="C162" i="326"/>
  <c r="C159" i="326"/>
  <c r="C156" i="326"/>
  <c r="C153" i="326"/>
  <c r="C150" i="326"/>
  <c r="C142" i="326"/>
  <c r="C140" i="326" s="1"/>
  <c r="C137" i="326"/>
  <c r="C132" i="326"/>
  <c r="C120" i="326"/>
  <c r="C115" i="326"/>
  <c r="C112" i="326"/>
  <c r="C104" i="326"/>
  <c r="C99" i="326"/>
  <c r="C76" i="326"/>
  <c r="C69" i="326"/>
  <c r="C63" i="326"/>
  <c r="C53" i="326"/>
  <c r="C45" i="326"/>
  <c r="C38" i="326"/>
  <c r="C27" i="326"/>
  <c r="C17" i="326"/>
  <c r="C13" i="326"/>
  <c r="C8" i="326"/>
  <c r="C165" i="242"/>
  <c r="C162" i="242"/>
  <c r="C159" i="242"/>
  <c r="C156" i="242"/>
  <c r="C153" i="242"/>
  <c r="C150" i="242"/>
  <c r="C142" i="242"/>
  <c r="C140" i="242" s="1"/>
  <c r="C137" i="242"/>
  <c r="C132" i="242"/>
  <c r="C120" i="242"/>
  <c r="C115" i="242"/>
  <c r="C112" i="242"/>
  <c r="C104" i="242"/>
  <c r="C99" i="242"/>
  <c r="C76" i="242"/>
  <c r="C69" i="242"/>
  <c r="C63" i="242"/>
  <c r="C53" i="242"/>
  <c r="C45" i="242"/>
  <c r="C38" i="242"/>
  <c r="C27" i="242"/>
  <c r="C17" i="242"/>
  <c r="C13" i="242"/>
  <c r="C8" i="242"/>
  <c r="H165" i="242"/>
  <c r="I165" i="242" s="1"/>
  <c r="J165" i="242" s="1"/>
  <c r="G165" i="242"/>
  <c r="F165" i="242"/>
  <c r="H162" i="242"/>
  <c r="G162" i="242"/>
  <c r="F162" i="242"/>
  <c r="H159" i="242"/>
  <c r="G159" i="242"/>
  <c r="F159" i="242"/>
  <c r="H156" i="242"/>
  <c r="G156" i="242"/>
  <c r="F156" i="242"/>
  <c r="H153" i="242"/>
  <c r="G153" i="242"/>
  <c r="F153" i="242"/>
  <c r="H150" i="242"/>
  <c r="G150" i="242"/>
  <c r="F150" i="242"/>
  <c r="H142" i="242"/>
  <c r="H140" i="242" s="1"/>
  <c r="G142" i="242"/>
  <c r="G140" i="242" s="1"/>
  <c r="F142" i="242"/>
  <c r="F140" i="242" s="1"/>
  <c r="H137" i="242"/>
  <c r="G137" i="242"/>
  <c r="F137" i="242"/>
  <c r="H132" i="242"/>
  <c r="I132" i="242" s="1"/>
  <c r="J132" i="242" s="1"/>
  <c r="G132" i="242"/>
  <c r="F132" i="242"/>
  <c r="H120" i="242"/>
  <c r="G120" i="242"/>
  <c r="G119" i="242" s="1"/>
  <c r="F120" i="242"/>
  <c r="H115" i="242"/>
  <c r="G115" i="242"/>
  <c r="F115" i="242"/>
  <c r="H112" i="242"/>
  <c r="G112" i="242"/>
  <c r="F112" i="242"/>
  <c r="H104" i="242"/>
  <c r="G104" i="242"/>
  <c r="F104" i="242"/>
  <c r="H99" i="242"/>
  <c r="G99" i="242"/>
  <c r="F99" i="242"/>
  <c r="H76" i="242"/>
  <c r="G76" i="242"/>
  <c r="F76" i="242"/>
  <c r="F75" i="242" s="1"/>
  <c r="H69" i="242"/>
  <c r="G69" i="242"/>
  <c r="F69" i="242"/>
  <c r="H63" i="242"/>
  <c r="I63" i="242" s="1"/>
  <c r="J63" i="242" s="1"/>
  <c r="G63" i="242"/>
  <c r="F63" i="242"/>
  <c r="H53" i="242"/>
  <c r="G53" i="242"/>
  <c r="F53" i="242"/>
  <c r="H45" i="242"/>
  <c r="G45" i="242"/>
  <c r="F45" i="242"/>
  <c r="H38" i="242"/>
  <c r="G38" i="242"/>
  <c r="F38" i="242"/>
  <c r="H27" i="242"/>
  <c r="G27" i="242"/>
  <c r="F27" i="242"/>
  <c r="H17" i="242"/>
  <c r="G17" i="242"/>
  <c r="F17" i="242"/>
  <c r="H13" i="242"/>
  <c r="G13" i="242"/>
  <c r="F13" i="242"/>
  <c r="H8" i="242"/>
  <c r="G8" i="242"/>
  <c r="F8" i="242"/>
  <c r="I165" i="335"/>
  <c r="J165" i="335" s="1"/>
  <c r="G165" i="335"/>
  <c r="F165" i="335"/>
  <c r="G162" i="335"/>
  <c r="F162" i="335"/>
  <c r="G159" i="335"/>
  <c r="F159" i="335"/>
  <c r="G156" i="335"/>
  <c r="F156" i="335"/>
  <c r="G153" i="335"/>
  <c r="F153" i="335"/>
  <c r="G150" i="335"/>
  <c r="I150" i="335" s="1"/>
  <c r="J150" i="335" s="1"/>
  <c r="F150" i="335"/>
  <c r="G142" i="335"/>
  <c r="G140" i="335" s="1"/>
  <c r="F142" i="335"/>
  <c r="F140" i="335" s="1"/>
  <c r="G137" i="335"/>
  <c r="F137" i="335"/>
  <c r="G132" i="335"/>
  <c r="I132" i="335" s="1"/>
  <c r="J132" i="335" s="1"/>
  <c r="F132" i="335"/>
  <c r="G120" i="335"/>
  <c r="F120" i="335"/>
  <c r="G115" i="335"/>
  <c r="F115" i="335"/>
  <c r="G112" i="335"/>
  <c r="F112" i="335"/>
  <c r="G104" i="335"/>
  <c r="I104" i="335" s="1"/>
  <c r="J104" i="335" s="1"/>
  <c r="F104" i="335"/>
  <c r="G99" i="335"/>
  <c r="F99" i="335"/>
  <c r="G76" i="335"/>
  <c r="F76" i="335"/>
  <c r="G69" i="335"/>
  <c r="F69" i="335"/>
  <c r="G63" i="335"/>
  <c r="F63" i="335"/>
  <c r="G53" i="335"/>
  <c r="F53" i="335"/>
  <c r="G45" i="335"/>
  <c r="F45" i="335"/>
  <c r="G38" i="335"/>
  <c r="F38" i="335"/>
  <c r="G27" i="335"/>
  <c r="F27" i="335"/>
  <c r="G17" i="335"/>
  <c r="F17" i="335"/>
  <c r="G13" i="335"/>
  <c r="F13" i="335"/>
  <c r="G8" i="335"/>
  <c r="F8" i="335"/>
  <c r="E209" i="324"/>
  <c r="E27" i="268" s="1"/>
  <c r="E198" i="324"/>
  <c r="E187" i="324"/>
  <c r="E25" i="268" s="1"/>
  <c r="C148" i="330"/>
  <c r="C32" i="241" s="1"/>
  <c r="C179" i="330"/>
  <c r="C36" i="241" s="1"/>
  <c r="H166" i="333"/>
  <c r="I166" i="333" s="1"/>
  <c r="J166" i="333" s="1"/>
  <c r="H163" i="333"/>
  <c r="H162" i="333" s="1"/>
  <c r="H160" i="333"/>
  <c r="I160" i="333" s="1"/>
  <c r="J160" i="333" s="1"/>
  <c r="H157" i="333"/>
  <c r="I157" i="333" s="1"/>
  <c r="J157" i="333" s="1"/>
  <c r="H154" i="333"/>
  <c r="I154" i="333" s="1"/>
  <c r="J154" i="333" s="1"/>
  <c r="H151" i="333"/>
  <c r="H148" i="333"/>
  <c r="I148" i="333" s="1"/>
  <c r="J148" i="333" s="1"/>
  <c r="H147" i="333"/>
  <c r="I147" i="333" s="1"/>
  <c r="J147" i="333" s="1"/>
  <c r="H146" i="333"/>
  <c r="I146" i="333" s="1"/>
  <c r="J146" i="333" s="1"/>
  <c r="H145" i="333"/>
  <c r="I145" i="333" s="1"/>
  <c r="J145" i="333" s="1"/>
  <c r="H144" i="333"/>
  <c r="I144" i="333" s="1"/>
  <c r="J144" i="333" s="1"/>
  <c r="H143" i="333"/>
  <c r="I143" i="333" s="1"/>
  <c r="J143" i="333" s="1"/>
  <c r="H141" i="333"/>
  <c r="I141" i="333" s="1"/>
  <c r="J141" i="333" s="1"/>
  <c r="H138" i="333"/>
  <c r="H137" i="333" s="1"/>
  <c r="H135" i="333"/>
  <c r="I135" i="333" s="1"/>
  <c r="J135" i="333" s="1"/>
  <c r="H134" i="333"/>
  <c r="I134" i="333" s="1"/>
  <c r="J134" i="333" s="1"/>
  <c r="H133" i="333"/>
  <c r="I133" i="333" s="1"/>
  <c r="J133" i="333" s="1"/>
  <c r="H131" i="333"/>
  <c r="I131" i="333" s="1"/>
  <c r="J131" i="333" s="1"/>
  <c r="H130" i="333"/>
  <c r="I130" i="333" s="1"/>
  <c r="J130" i="333" s="1"/>
  <c r="H129" i="333"/>
  <c r="I129" i="333" s="1"/>
  <c r="J129" i="333" s="1"/>
  <c r="H128" i="333"/>
  <c r="I128" i="333" s="1"/>
  <c r="J128" i="333" s="1"/>
  <c r="H127" i="333"/>
  <c r="I127" i="333" s="1"/>
  <c r="J127" i="333" s="1"/>
  <c r="H126" i="333"/>
  <c r="I126" i="333" s="1"/>
  <c r="J126" i="333" s="1"/>
  <c r="H125" i="333"/>
  <c r="I125" i="333" s="1"/>
  <c r="J125" i="333" s="1"/>
  <c r="H124" i="333"/>
  <c r="H123" i="333"/>
  <c r="I123" i="333" s="1"/>
  <c r="J123" i="333" s="1"/>
  <c r="H122" i="333"/>
  <c r="I122" i="333" s="1"/>
  <c r="J122" i="333" s="1"/>
  <c r="H121" i="333"/>
  <c r="I121" i="333" s="1"/>
  <c r="J121" i="333" s="1"/>
  <c r="H117" i="333"/>
  <c r="I117" i="333" s="1"/>
  <c r="J117" i="333" s="1"/>
  <c r="H116" i="333"/>
  <c r="I116" i="333" s="1"/>
  <c r="J116" i="333" s="1"/>
  <c r="H114" i="333"/>
  <c r="I114" i="333" s="1"/>
  <c r="J114" i="333" s="1"/>
  <c r="H113" i="333"/>
  <c r="I113" i="333" s="1"/>
  <c r="J113" i="333" s="1"/>
  <c r="H109" i="333"/>
  <c r="I109" i="333" s="1"/>
  <c r="J109" i="333" s="1"/>
  <c r="H108" i="333"/>
  <c r="I108" i="333" s="1"/>
  <c r="J108" i="333" s="1"/>
  <c r="H107" i="333"/>
  <c r="I107" i="333" s="1"/>
  <c r="J107" i="333" s="1"/>
  <c r="H106" i="333"/>
  <c r="I106" i="333" s="1"/>
  <c r="J106" i="333" s="1"/>
  <c r="H105" i="333"/>
  <c r="I105" i="333" s="1"/>
  <c r="J105" i="333" s="1"/>
  <c r="H102" i="333"/>
  <c r="I102" i="333" s="1"/>
  <c r="J102" i="333" s="1"/>
  <c r="H101" i="333"/>
  <c r="H100" i="333"/>
  <c r="I100" i="333" s="1"/>
  <c r="J100" i="333" s="1"/>
  <c r="H98" i="333"/>
  <c r="I98" i="333" s="1"/>
  <c r="J98" i="333" s="1"/>
  <c r="H97" i="333"/>
  <c r="I97" i="333" s="1"/>
  <c r="J97" i="333" s="1"/>
  <c r="H96" i="333"/>
  <c r="H95" i="333"/>
  <c r="I95" i="333" s="1"/>
  <c r="J95" i="333" s="1"/>
  <c r="H94" i="333"/>
  <c r="I94" i="333" s="1"/>
  <c r="J94" i="333" s="1"/>
  <c r="H93" i="333"/>
  <c r="I93" i="333" s="1"/>
  <c r="J93" i="333" s="1"/>
  <c r="H92" i="333"/>
  <c r="I92" i="333" s="1"/>
  <c r="J92" i="333" s="1"/>
  <c r="H91" i="333"/>
  <c r="I91" i="333" s="1"/>
  <c r="J91" i="333" s="1"/>
  <c r="H90" i="333"/>
  <c r="I90" i="333" s="1"/>
  <c r="J90" i="333" s="1"/>
  <c r="H89" i="333"/>
  <c r="I89" i="333" s="1"/>
  <c r="J89" i="333" s="1"/>
  <c r="H88" i="333"/>
  <c r="I88" i="333" s="1"/>
  <c r="J88" i="333" s="1"/>
  <c r="H87" i="333"/>
  <c r="I87" i="333" s="1"/>
  <c r="J87" i="333" s="1"/>
  <c r="H86" i="333"/>
  <c r="I86" i="333" s="1"/>
  <c r="J86" i="333" s="1"/>
  <c r="H85" i="333"/>
  <c r="I85" i="333" s="1"/>
  <c r="J85" i="333" s="1"/>
  <c r="H84" i="333"/>
  <c r="I84" i="333" s="1"/>
  <c r="J84" i="333" s="1"/>
  <c r="H83" i="333"/>
  <c r="I83" i="333" s="1"/>
  <c r="J83" i="333" s="1"/>
  <c r="H82" i="333"/>
  <c r="I82" i="333" s="1"/>
  <c r="J82" i="333" s="1"/>
  <c r="H81" i="333"/>
  <c r="I81" i="333" s="1"/>
  <c r="J81" i="333" s="1"/>
  <c r="H80" i="333"/>
  <c r="I80" i="333" s="1"/>
  <c r="J80" i="333" s="1"/>
  <c r="H79" i="333"/>
  <c r="I79" i="333" s="1"/>
  <c r="J79" i="333" s="1"/>
  <c r="H78" i="333"/>
  <c r="I78" i="333" s="1"/>
  <c r="J78" i="333" s="1"/>
  <c r="H77" i="333"/>
  <c r="I77" i="333" s="1"/>
  <c r="J77" i="333" s="1"/>
  <c r="H73" i="333"/>
  <c r="I73" i="333" s="1"/>
  <c r="J73" i="333" s="1"/>
  <c r="H72" i="333"/>
  <c r="I72" i="333" s="1"/>
  <c r="J72" i="333" s="1"/>
  <c r="H71" i="333"/>
  <c r="I71" i="333" s="1"/>
  <c r="J71" i="333" s="1"/>
  <c r="H70" i="333"/>
  <c r="I70" i="333" s="1"/>
  <c r="J70" i="333" s="1"/>
  <c r="H68" i="333"/>
  <c r="I68" i="333" s="1"/>
  <c r="J68" i="333" s="1"/>
  <c r="H67" i="333"/>
  <c r="I67" i="333" s="1"/>
  <c r="J67" i="333" s="1"/>
  <c r="H66" i="333"/>
  <c r="I66" i="333" s="1"/>
  <c r="J66" i="333" s="1"/>
  <c r="H65" i="333"/>
  <c r="I65" i="333" s="1"/>
  <c r="J65" i="333" s="1"/>
  <c r="H64" i="333"/>
  <c r="I64" i="333" s="1"/>
  <c r="J64" i="333" s="1"/>
  <c r="H62" i="333"/>
  <c r="I62" i="333" s="1"/>
  <c r="J62" i="333" s="1"/>
  <c r="H61" i="333"/>
  <c r="I61" i="333" s="1"/>
  <c r="J61" i="333" s="1"/>
  <c r="H60" i="333"/>
  <c r="I60" i="333" s="1"/>
  <c r="J60" i="333" s="1"/>
  <c r="H59" i="333"/>
  <c r="I59" i="333" s="1"/>
  <c r="J59" i="333" s="1"/>
  <c r="H58" i="333"/>
  <c r="I58" i="333" s="1"/>
  <c r="J58" i="333" s="1"/>
  <c r="H57" i="333"/>
  <c r="I57" i="333" s="1"/>
  <c r="J57" i="333" s="1"/>
  <c r="H56" i="333"/>
  <c r="I56" i="333" s="1"/>
  <c r="J56" i="333" s="1"/>
  <c r="H55" i="333"/>
  <c r="I55" i="333" s="1"/>
  <c r="J55" i="333" s="1"/>
  <c r="H54" i="333"/>
  <c r="I54" i="333" s="1"/>
  <c r="J54" i="333" s="1"/>
  <c r="H52" i="333"/>
  <c r="I52" i="333" s="1"/>
  <c r="J52" i="333" s="1"/>
  <c r="H51" i="333"/>
  <c r="I51" i="333" s="1"/>
  <c r="J51" i="333" s="1"/>
  <c r="H50" i="333"/>
  <c r="I50" i="333" s="1"/>
  <c r="J50" i="333" s="1"/>
  <c r="H49" i="333"/>
  <c r="I49" i="333" s="1"/>
  <c r="J49" i="333" s="1"/>
  <c r="H48" i="333"/>
  <c r="I48" i="333" s="1"/>
  <c r="J48" i="333" s="1"/>
  <c r="H47" i="333"/>
  <c r="I47" i="333" s="1"/>
  <c r="J47" i="333" s="1"/>
  <c r="H46" i="333"/>
  <c r="I46" i="333" s="1"/>
  <c r="J46" i="333" s="1"/>
  <c r="H44" i="333"/>
  <c r="I44" i="333" s="1"/>
  <c r="J44" i="333" s="1"/>
  <c r="H43" i="333"/>
  <c r="I43" i="333" s="1"/>
  <c r="J43" i="333" s="1"/>
  <c r="H42" i="333"/>
  <c r="I42" i="333" s="1"/>
  <c r="J42" i="333" s="1"/>
  <c r="H41" i="333"/>
  <c r="I41" i="333" s="1"/>
  <c r="J41" i="333" s="1"/>
  <c r="H40" i="333"/>
  <c r="I40" i="333" s="1"/>
  <c r="J40" i="333" s="1"/>
  <c r="H39" i="333"/>
  <c r="I39" i="333" s="1"/>
  <c r="J39" i="333" s="1"/>
  <c r="H37" i="333"/>
  <c r="I37" i="333" s="1"/>
  <c r="J37" i="333" s="1"/>
  <c r="H36" i="333"/>
  <c r="I36" i="333" s="1"/>
  <c r="J36" i="333" s="1"/>
  <c r="H35" i="333"/>
  <c r="I35" i="333" s="1"/>
  <c r="J35" i="333" s="1"/>
  <c r="H34" i="333"/>
  <c r="I34" i="333" s="1"/>
  <c r="J34" i="333" s="1"/>
  <c r="H33" i="333"/>
  <c r="I33" i="333" s="1"/>
  <c r="J33" i="333" s="1"/>
  <c r="H32" i="333"/>
  <c r="I32" i="333" s="1"/>
  <c r="J32" i="333" s="1"/>
  <c r="H31" i="333"/>
  <c r="I31" i="333" s="1"/>
  <c r="J31" i="333" s="1"/>
  <c r="H30" i="333"/>
  <c r="I30" i="333" s="1"/>
  <c r="J30" i="333" s="1"/>
  <c r="H29" i="333"/>
  <c r="I29" i="333" s="1"/>
  <c r="J29" i="333" s="1"/>
  <c r="H28" i="333"/>
  <c r="I28" i="333" s="1"/>
  <c r="J28" i="333" s="1"/>
  <c r="H26" i="333"/>
  <c r="I26" i="333" s="1"/>
  <c r="J26" i="333" s="1"/>
  <c r="H25" i="333"/>
  <c r="I25" i="333" s="1"/>
  <c r="J25" i="333" s="1"/>
  <c r="H24" i="333"/>
  <c r="I24" i="333" s="1"/>
  <c r="J24" i="333" s="1"/>
  <c r="H23" i="333"/>
  <c r="I23" i="333" s="1"/>
  <c r="J23" i="333" s="1"/>
  <c r="H22" i="333"/>
  <c r="I22" i="333" s="1"/>
  <c r="J22" i="333" s="1"/>
  <c r="H21" i="333"/>
  <c r="I21" i="333" s="1"/>
  <c r="J21" i="333" s="1"/>
  <c r="H20" i="333"/>
  <c r="I20" i="333" s="1"/>
  <c r="J20" i="333" s="1"/>
  <c r="H19" i="333"/>
  <c r="I19" i="333" s="1"/>
  <c r="J19" i="333" s="1"/>
  <c r="H18" i="333"/>
  <c r="I18" i="333" s="1"/>
  <c r="J18" i="333" s="1"/>
  <c r="H16" i="333"/>
  <c r="I16" i="333" s="1"/>
  <c r="J16" i="333" s="1"/>
  <c r="H15" i="333"/>
  <c r="I15" i="333" s="1"/>
  <c r="J15" i="333" s="1"/>
  <c r="H14" i="333"/>
  <c r="H12" i="333"/>
  <c r="I12" i="333" s="1"/>
  <c r="J12" i="333" s="1"/>
  <c r="H11" i="333"/>
  <c r="I11" i="333" s="1"/>
  <c r="J11" i="333" s="1"/>
  <c r="H10" i="333"/>
  <c r="I10" i="333" s="1"/>
  <c r="J10" i="333" s="1"/>
  <c r="H9" i="333"/>
  <c r="I9" i="333" s="1"/>
  <c r="J9" i="333" s="1"/>
  <c r="H166" i="325"/>
  <c r="H163" i="325"/>
  <c r="I163" i="325" s="1"/>
  <c r="J163" i="325" s="1"/>
  <c r="H160" i="325"/>
  <c r="I160" i="325" s="1"/>
  <c r="J160" i="325" s="1"/>
  <c r="H157" i="325"/>
  <c r="I157" i="325" s="1"/>
  <c r="J157" i="325" s="1"/>
  <c r="H154" i="325"/>
  <c r="I154" i="325" s="1"/>
  <c r="J154" i="325" s="1"/>
  <c r="H151" i="325"/>
  <c r="I151" i="325" s="1"/>
  <c r="J151" i="325" s="1"/>
  <c r="H148" i="325"/>
  <c r="I148" i="325" s="1"/>
  <c r="J148" i="325" s="1"/>
  <c r="H147" i="325"/>
  <c r="I147" i="325" s="1"/>
  <c r="J147" i="325" s="1"/>
  <c r="H146" i="325"/>
  <c r="I146" i="325" s="1"/>
  <c r="J146" i="325" s="1"/>
  <c r="H145" i="325"/>
  <c r="I145" i="325" s="1"/>
  <c r="J145" i="325" s="1"/>
  <c r="H144" i="325"/>
  <c r="I144" i="325" s="1"/>
  <c r="J144" i="325" s="1"/>
  <c r="H143" i="325"/>
  <c r="I143" i="325" s="1"/>
  <c r="J143" i="325" s="1"/>
  <c r="H141" i="325"/>
  <c r="I141" i="325" s="1"/>
  <c r="J141" i="325" s="1"/>
  <c r="H138" i="325"/>
  <c r="H135" i="325"/>
  <c r="I135" i="325" s="1"/>
  <c r="J135" i="325" s="1"/>
  <c r="H134" i="325"/>
  <c r="I134" i="325" s="1"/>
  <c r="J134" i="325" s="1"/>
  <c r="H133" i="325"/>
  <c r="H131" i="325"/>
  <c r="I131" i="325" s="1"/>
  <c r="J131" i="325" s="1"/>
  <c r="H130" i="325"/>
  <c r="I130" i="325" s="1"/>
  <c r="J130" i="325" s="1"/>
  <c r="H129" i="325"/>
  <c r="I129" i="325" s="1"/>
  <c r="J129" i="325" s="1"/>
  <c r="H128" i="325"/>
  <c r="I128" i="325" s="1"/>
  <c r="J128" i="325" s="1"/>
  <c r="H127" i="325"/>
  <c r="I127" i="325" s="1"/>
  <c r="J127" i="325" s="1"/>
  <c r="H126" i="325"/>
  <c r="I126" i="325" s="1"/>
  <c r="J126" i="325" s="1"/>
  <c r="H125" i="325"/>
  <c r="I125" i="325" s="1"/>
  <c r="J125" i="325" s="1"/>
  <c r="H124" i="325"/>
  <c r="I124" i="325" s="1"/>
  <c r="J124" i="325" s="1"/>
  <c r="H123" i="325"/>
  <c r="I123" i="325" s="1"/>
  <c r="J123" i="325" s="1"/>
  <c r="H122" i="325"/>
  <c r="I122" i="325" s="1"/>
  <c r="J122" i="325" s="1"/>
  <c r="H121" i="325"/>
  <c r="I121" i="325" s="1"/>
  <c r="J121" i="325" s="1"/>
  <c r="H117" i="325"/>
  <c r="I117" i="325" s="1"/>
  <c r="J117" i="325" s="1"/>
  <c r="H116" i="325"/>
  <c r="I116" i="325" s="1"/>
  <c r="J116" i="325" s="1"/>
  <c r="H114" i="325"/>
  <c r="I114" i="325" s="1"/>
  <c r="J114" i="325" s="1"/>
  <c r="H113" i="325"/>
  <c r="I113" i="325" s="1"/>
  <c r="J113" i="325" s="1"/>
  <c r="H109" i="325"/>
  <c r="I109" i="325" s="1"/>
  <c r="J109" i="325" s="1"/>
  <c r="H108" i="325"/>
  <c r="I108" i="325" s="1"/>
  <c r="J108" i="325" s="1"/>
  <c r="H107" i="325"/>
  <c r="I107" i="325" s="1"/>
  <c r="J107" i="325" s="1"/>
  <c r="H106" i="325"/>
  <c r="I106" i="325" s="1"/>
  <c r="J106" i="325" s="1"/>
  <c r="H105" i="325"/>
  <c r="I105" i="325" s="1"/>
  <c r="J105" i="325" s="1"/>
  <c r="H102" i="325"/>
  <c r="I102" i="325" s="1"/>
  <c r="J102" i="325" s="1"/>
  <c r="H101" i="325"/>
  <c r="I101" i="325" s="1"/>
  <c r="J101" i="325" s="1"/>
  <c r="H100" i="325"/>
  <c r="I100" i="325" s="1"/>
  <c r="J100" i="325" s="1"/>
  <c r="H98" i="325"/>
  <c r="I98" i="325" s="1"/>
  <c r="J98" i="325" s="1"/>
  <c r="H97" i="325"/>
  <c r="I97" i="325" s="1"/>
  <c r="J97" i="325" s="1"/>
  <c r="H96" i="325"/>
  <c r="I96" i="325" s="1"/>
  <c r="J96" i="325" s="1"/>
  <c r="H95" i="325"/>
  <c r="I95" i="325" s="1"/>
  <c r="J95" i="325" s="1"/>
  <c r="H94" i="325"/>
  <c r="I94" i="325" s="1"/>
  <c r="J94" i="325" s="1"/>
  <c r="H93" i="325"/>
  <c r="I93" i="325" s="1"/>
  <c r="J93" i="325" s="1"/>
  <c r="H92" i="325"/>
  <c r="I92" i="325" s="1"/>
  <c r="J92" i="325" s="1"/>
  <c r="H91" i="325"/>
  <c r="I91" i="325" s="1"/>
  <c r="J91" i="325" s="1"/>
  <c r="H90" i="325"/>
  <c r="I90" i="325" s="1"/>
  <c r="J90" i="325" s="1"/>
  <c r="H89" i="325"/>
  <c r="I89" i="325" s="1"/>
  <c r="J89" i="325" s="1"/>
  <c r="H88" i="325"/>
  <c r="I88" i="325" s="1"/>
  <c r="J88" i="325" s="1"/>
  <c r="H87" i="325"/>
  <c r="I87" i="325" s="1"/>
  <c r="J87" i="325" s="1"/>
  <c r="H86" i="325"/>
  <c r="I86" i="325" s="1"/>
  <c r="J86" i="325" s="1"/>
  <c r="H85" i="325"/>
  <c r="I85" i="325" s="1"/>
  <c r="J85" i="325" s="1"/>
  <c r="H84" i="325"/>
  <c r="I84" i="325" s="1"/>
  <c r="J84" i="325" s="1"/>
  <c r="H83" i="325"/>
  <c r="I83" i="325" s="1"/>
  <c r="J83" i="325" s="1"/>
  <c r="H82" i="325"/>
  <c r="I82" i="325" s="1"/>
  <c r="J82" i="325" s="1"/>
  <c r="H81" i="325"/>
  <c r="I81" i="325" s="1"/>
  <c r="J81" i="325" s="1"/>
  <c r="H80" i="325"/>
  <c r="I80" i="325" s="1"/>
  <c r="J80" i="325" s="1"/>
  <c r="H79" i="325"/>
  <c r="I79" i="325" s="1"/>
  <c r="J79" i="325" s="1"/>
  <c r="H78" i="325"/>
  <c r="I78" i="325" s="1"/>
  <c r="J78" i="325" s="1"/>
  <c r="H77" i="325"/>
  <c r="I77" i="325" s="1"/>
  <c r="J77" i="325" s="1"/>
  <c r="H73" i="325"/>
  <c r="I73" i="325" s="1"/>
  <c r="J73" i="325" s="1"/>
  <c r="H72" i="325"/>
  <c r="I72" i="325" s="1"/>
  <c r="J72" i="325" s="1"/>
  <c r="H71" i="325"/>
  <c r="I71" i="325" s="1"/>
  <c r="J71" i="325" s="1"/>
  <c r="H70" i="325"/>
  <c r="I70" i="325" s="1"/>
  <c r="J70" i="325" s="1"/>
  <c r="H68" i="325"/>
  <c r="I68" i="325" s="1"/>
  <c r="J68" i="325" s="1"/>
  <c r="H67" i="325"/>
  <c r="I67" i="325" s="1"/>
  <c r="J67" i="325" s="1"/>
  <c r="H66" i="325"/>
  <c r="I66" i="325" s="1"/>
  <c r="J66" i="325" s="1"/>
  <c r="H65" i="325"/>
  <c r="I65" i="325" s="1"/>
  <c r="J65" i="325" s="1"/>
  <c r="H64" i="325"/>
  <c r="I64" i="325" s="1"/>
  <c r="J64" i="325" s="1"/>
  <c r="H62" i="325"/>
  <c r="I62" i="325" s="1"/>
  <c r="J62" i="325" s="1"/>
  <c r="H61" i="325"/>
  <c r="I61" i="325" s="1"/>
  <c r="J61" i="325" s="1"/>
  <c r="H60" i="325"/>
  <c r="I60" i="325" s="1"/>
  <c r="J60" i="325" s="1"/>
  <c r="H59" i="325"/>
  <c r="I59" i="325" s="1"/>
  <c r="J59" i="325" s="1"/>
  <c r="H58" i="325"/>
  <c r="I58" i="325" s="1"/>
  <c r="J58" i="325" s="1"/>
  <c r="H57" i="325"/>
  <c r="I57" i="325" s="1"/>
  <c r="J57" i="325" s="1"/>
  <c r="H56" i="325"/>
  <c r="I56" i="325" s="1"/>
  <c r="J56" i="325" s="1"/>
  <c r="H55" i="325"/>
  <c r="I55" i="325" s="1"/>
  <c r="J55" i="325" s="1"/>
  <c r="H54" i="325"/>
  <c r="I54" i="325" s="1"/>
  <c r="J54" i="325" s="1"/>
  <c r="H52" i="325"/>
  <c r="I52" i="325" s="1"/>
  <c r="J52" i="325" s="1"/>
  <c r="H51" i="325"/>
  <c r="I51" i="325" s="1"/>
  <c r="J51" i="325" s="1"/>
  <c r="H50" i="325"/>
  <c r="I50" i="325" s="1"/>
  <c r="J50" i="325" s="1"/>
  <c r="H49" i="325"/>
  <c r="I49" i="325" s="1"/>
  <c r="J49" i="325" s="1"/>
  <c r="H48" i="325"/>
  <c r="I48" i="325" s="1"/>
  <c r="J48" i="325" s="1"/>
  <c r="H47" i="325"/>
  <c r="I47" i="325" s="1"/>
  <c r="J47" i="325" s="1"/>
  <c r="H46" i="325"/>
  <c r="I46" i="325" s="1"/>
  <c r="J46" i="325" s="1"/>
  <c r="H44" i="325"/>
  <c r="I44" i="325" s="1"/>
  <c r="J44" i="325" s="1"/>
  <c r="H43" i="325"/>
  <c r="I43" i="325" s="1"/>
  <c r="J43" i="325" s="1"/>
  <c r="H42" i="325"/>
  <c r="I42" i="325" s="1"/>
  <c r="J42" i="325" s="1"/>
  <c r="H41" i="325"/>
  <c r="I41" i="325" s="1"/>
  <c r="J41" i="325" s="1"/>
  <c r="H40" i="325"/>
  <c r="I40" i="325" s="1"/>
  <c r="J40" i="325" s="1"/>
  <c r="H39" i="325"/>
  <c r="I39" i="325" s="1"/>
  <c r="J39" i="325" s="1"/>
  <c r="H37" i="325"/>
  <c r="I37" i="325" s="1"/>
  <c r="J37" i="325" s="1"/>
  <c r="H36" i="325"/>
  <c r="I36" i="325" s="1"/>
  <c r="J36" i="325" s="1"/>
  <c r="H35" i="325"/>
  <c r="I35" i="325" s="1"/>
  <c r="J35" i="325" s="1"/>
  <c r="H34" i="325"/>
  <c r="I34" i="325" s="1"/>
  <c r="J34" i="325" s="1"/>
  <c r="H33" i="325"/>
  <c r="I33" i="325" s="1"/>
  <c r="J33" i="325" s="1"/>
  <c r="H32" i="325"/>
  <c r="I32" i="325" s="1"/>
  <c r="J32" i="325" s="1"/>
  <c r="H31" i="325"/>
  <c r="I31" i="325" s="1"/>
  <c r="J31" i="325" s="1"/>
  <c r="H30" i="325"/>
  <c r="I30" i="325" s="1"/>
  <c r="J30" i="325" s="1"/>
  <c r="H29" i="325"/>
  <c r="I29" i="325" s="1"/>
  <c r="J29" i="325" s="1"/>
  <c r="H28" i="325"/>
  <c r="H26" i="325"/>
  <c r="I26" i="325" s="1"/>
  <c r="J26" i="325" s="1"/>
  <c r="H25" i="325"/>
  <c r="I25" i="325" s="1"/>
  <c r="J25" i="325" s="1"/>
  <c r="H24" i="325"/>
  <c r="I24" i="325" s="1"/>
  <c r="J24" i="325" s="1"/>
  <c r="H23" i="325"/>
  <c r="I23" i="325" s="1"/>
  <c r="J23" i="325" s="1"/>
  <c r="H22" i="325"/>
  <c r="I22" i="325" s="1"/>
  <c r="J22" i="325" s="1"/>
  <c r="H21" i="325"/>
  <c r="I21" i="325" s="1"/>
  <c r="J21" i="325" s="1"/>
  <c r="H20" i="325"/>
  <c r="I20" i="325" s="1"/>
  <c r="J20" i="325" s="1"/>
  <c r="H19" i="325"/>
  <c r="I19" i="325" s="1"/>
  <c r="J19" i="325" s="1"/>
  <c r="H18" i="325"/>
  <c r="I18" i="325" s="1"/>
  <c r="J18" i="325" s="1"/>
  <c r="H16" i="325"/>
  <c r="I16" i="325" s="1"/>
  <c r="J16" i="325" s="1"/>
  <c r="H15" i="325"/>
  <c r="I15" i="325" s="1"/>
  <c r="J15" i="325" s="1"/>
  <c r="H14" i="325"/>
  <c r="I14" i="325" s="1"/>
  <c r="J14" i="325" s="1"/>
  <c r="H12" i="325"/>
  <c r="I12" i="325" s="1"/>
  <c r="J12" i="325" s="1"/>
  <c r="H11" i="325"/>
  <c r="H10" i="325"/>
  <c r="I10" i="325" s="1"/>
  <c r="J10" i="325" s="1"/>
  <c r="H9" i="325"/>
  <c r="I9" i="325" s="1"/>
  <c r="J9" i="325" s="1"/>
  <c r="K166" i="335"/>
  <c r="K165" i="335" s="1"/>
  <c r="K163" i="335"/>
  <c r="K162" i="335" s="1"/>
  <c r="K160" i="335"/>
  <c r="K159" i="335" s="1"/>
  <c r="K157" i="335"/>
  <c r="K156" i="335" s="1"/>
  <c r="K154" i="335"/>
  <c r="K153" i="335" s="1"/>
  <c r="K151" i="335"/>
  <c r="K150" i="335" s="1"/>
  <c r="K148" i="335"/>
  <c r="K147" i="335"/>
  <c r="K146" i="335"/>
  <c r="K145" i="335"/>
  <c r="K144" i="335"/>
  <c r="K143" i="335"/>
  <c r="K141" i="335"/>
  <c r="K138" i="335"/>
  <c r="K137" i="335" s="1"/>
  <c r="K135" i="335"/>
  <c r="K134" i="335"/>
  <c r="K133" i="335"/>
  <c r="K131" i="335"/>
  <c r="K130" i="335"/>
  <c r="K129" i="335"/>
  <c r="K128" i="335"/>
  <c r="K127" i="335"/>
  <c r="K126" i="335"/>
  <c r="K125" i="335"/>
  <c r="K124" i="335"/>
  <c r="K123" i="335"/>
  <c r="K122" i="335"/>
  <c r="K121" i="335"/>
  <c r="K117" i="335"/>
  <c r="K116" i="335"/>
  <c r="K114" i="335"/>
  <c r="K113" i="335"/>
  <c r="K109" i="335"/>
  <c r="K108" i="335"/>
  <c r="K107" i="335"/>
  <c r="K106" i="335"/>
  <c r="K105" i="335"/>
  <c r="K102" i="335"/>
  <c r="K101" i="335"/>
  <c r="K100" i="335"/>
  <c r="K98" i="335"/>
  <c r="K97" i="335"/>
  <c r="K96" i="335"/>
  <c r="K95" i="335"/>
  <c r="K94" i="335"/>
  <c r="K93" i="335"/>
  <c r="K92" i="335"/>
  <c r="K91" i="335"/>
  <c r="K90" i="335"/>
  <c r="K89" i="335"/>
  <c r="K88" i="335"/>
  <c r="K87" i="335"/>
  <c r="K86" i="335"/>
  <c r="K85" i="335"/>
  <c r="K84" i="335"/>
  <c r="K83" i="335"/>
  <c r="K82" i="335"/>
  <c r="K81" i="335"/>
  <c r="K80" i="335"/>
  <c r="K79" i="335"/>
  <c r="K78" i="335"/>
  <c r="K77" i="335"/>
  <c r="K73" i="335"/>
  <c r="K72" i="335"/>
  <c r="K71" i="335"/>
  <c r="K70" i="335"/>
  <c r="K68" i="335"/>
  <c r="K67" i="335"/>
  <c r="K66" i="335"/>
  <c r="K65" i="335"/>
  <c r="K64" i="335"/>
  <c r="K62" i="335"/>
  <c r="K61" i="335"/>
  <c r="K60" i="335"/>
  <c r="K59" i="335"/>
  <c r="K58" i="335"/>
  <c r="K57" i="335"/>
  <c r="K56" i="335"/>
  <c r="K55" i="335"/>
  <c r="K54" i="335"/>
  <c r="K52" i="335"/>
  <c r="K51" i="335"/>
  <c r="K50" i="335"/>
  <c r="K49" i="335"/>
  <c r="K48" i="335"/>
  <c r="K47" i="335"/>
  <c r="K46" i="335"/>
  <c r="K44" i="335"/>
  <c r="K43" i="335"/>
  <c r="K42" i="335"/>
  <c r="K41" i="335"/>
  <c r="K40" i="335"/>
  <c r="K39" i="335"/>
  <c r="K37" i="335"/>
  <c r="K36" i="335"/>
  <c r="K35" i="335"/>
  <c r="K34" i="335"/>
  <c r="K33" i="335"/>
  <c r="K32" i="335"/>
  <c r="K31" i="335"/>
  <c r="K30" i="335"/>
  <c r="K29" i="335"/>
  <c r="K28" i="335"/>
  <c r="K26" i="335"/>
  <c r="K25" i="335"/>
  <c r="K24" i="335"/>
  <c r="K23" i="335"/>
  <c r="K22" i="335"/>
  <c r="K21" i="335"/>
  <c r="K20" i="335"/>
  <c r="K19" i="335"/>
  <c r="K18" i="335"/>
  <c r="K16" i="335"/>
  <c r="K15" i="335"/>
  <c r="K14" i="335"/>
  <c r="K12" i="335"/>
  <c r="K11" i="335"/>
  <c r="K10" i="335"/>
  <c r="K9" i="335"/>
  <c r="K166" i="333"/>
  <c r="K165" i="333" s="1"/>
  <c r="K163" i="333"/>
  <c r="K162" i="333" s="1"/>
  <c r="K160" i="333"/>
  <c r="K159" i="333" s="1"/>
  <c r="K157" i="333"/>
  <c r="K156" i="333" s="1"/>
  <c r="K154" i="333"/>
  <c r="K153" i="333" s="1"/>
  <c r="K151" i="333"/>
  <c r="K150" i="333" s="1"/>
  <c r="K148" i="333"/>
  <c r="K147" i="333"/>
  <c r="K146" i="333"/>
  <c r="K145" i="333"/>
  <c r="K144" i="333"/>
  <c r="K143" i="333"/>
  <c r="K141" i="333"/>
  <c r="K138" i="333"/>
  <c r="K137" i="333" s="1"/>
  <c r="K135" i="333"/>
  <c r="K134" i="333"/>
  <c r="K133" i="333"/>
  <c r="K131" i="333"/>
  <c r="K130" i="333"/>
  <c r="K129" i="333"/>
  <c r="K128" i="333"/>
  <c r="K127" i="333"/>
  <c r="K126" i="333"/>
  <c r="K125" i="333"/>
  <c r="K124" i="333"/>
  <c r="K123" i="333"/>
  <c r="K122" i="333"/>
  <c r="K121" i="333"/>
  <c r="K117" i="333"/>
  <c r="K116" i="333"/>
  <c r="K114" i="333"/>
  <c r="K112" i="333" s="1"/>
  <c r="K113" i="333"/>
  <c r="K109" i="333"/>
  <c r="K108" i="333"/>
  <c r="K107" i="333"/>
  <c r="K106" i="333"/>
  <c r="K105" i="333"/>
  <c r="K102" i="333"/>
  <c r="K101" i="333"/>
  <c r="K100" i="333"/>
  <c r="K98" i="333"/>
  <c r="K97" i="333"/>
  <c r="K96" i="333"/>
  <c r="K95" i="333"/>
  <c r="K94" i="333"/>
  <c r="K93" i="333"/>
  <c r="K92" i="333"/>
  <c r="K91" i="333"/>
  <c r="K90" i="333"/>
  <c r="K89" i="333"/>
  <c r="K88" i="333"/>
  <c r="K87" i="333"/>
  <c r="K86" i="333"/>
  <c r="K85" i="333"/>
  <c r="K84" i="333"/>
  <c r="K83" i="333"/>
  <c r="K82" i="333"/>
  <c r="K81" i="333"/>
  <c r="K80" i="333"/>
  <c r="K79" i="333"/>
  <c r="K78" i="333"/>
  <c r="K77" i="333"/>
  <c r="K73" i="333"/>
  <c r="K72" i="333"/>
  <c r="K71" i="333"/>
  <c r="K70" i="333"/>
  <c r="K68" i="333"/>
  <c r="K67" i="333"/>
  <c r="K66" i="333"/>
  <c r="K65" i="333"/>
  <c r="K64" i="333"/>
  <c r="K62" i="333"/>
  <c r="K61" i="333"/>
  <c r="K60" i="333"/>
  <c r="K59" i="333"/>
  <c r="K58" i="333"/>
  <c r="K57" i="333"/>
  <c r="K56" i="333"/>
  <c r="K55" i="333"/>
  <c r="K54" i="333"/>
  <c r="K52" i="333"/>
  <c r="K51" i="333"/>
  <c r="K50" i="333"/>
  <c r="K49" i="333"/>
  <c r="K48" i="333"/>
  <c r="K47" i="333"/>
  <c r="K46" i="333"/>
  <c r="K44" i="333"/>
  <c r="K43" i="333"/>
  <c r="K42" i="333"/>
  <c r="K41" i="333"/>
  <c r="K40" i="333"/>
  <c r="K39" i="333"/>
  <c r="K37" i="333"/>
  <c r="K36" i="333"/>
  <c r="K35" i="333"/>
  <c r="K34" i="333"/>
  <c r="K33" i="333"/>
  <c r="K32" i="333"/>
  <c r="K31" i="333"/>
  <c r="K30" i="333"/>
  <c r="K29" i="333"/>
  <c r="K28" i="333"/>
  <c r="K26" i="333"/>
  <c r="K25" i="333"/>
  <c r="K24" i="333"/>
  <c r="K23" i="333"/>
  <c r="K22" i="333"/>
  <c r="K21" i="333"/>
  <c r="K20" i="333"/>
  <c r="K19" i="333"/>
  <c r="K18" i="333"/>
  <c r="K16" i="333"/>
  <c r="K15" i="333"/>
  <c r="K14" i="333"/>
  <c r="K12" i="333"/>
  <c r="K11" i="333"/>
  <c r="K10" i="333"/>
  <c r="K9" i="333"/>
  <c r="K166" i="325"/>
  <c r="K165" i="325" s="1"/>
  <c r="K163" i="325"/>
  <c r="K162" i="325" s="1"/>
  <c r="K160" i="325"/>
  <c r="K159" i="325" s="1"/>
  <c r="K157" i="325"/>
  <c r="K156" i="325" s="1"/>
  <c r="K154" i="325"/>
  <c r="K153" i="325" s="1"/>
  <c r="K151" i="325"/>
  <c r="K150" i="325" s="1"/>
  <c r="K148" i="325"/>
  <c r="K147" i="325"/>
  <c r="K146" i="325"/>
  <c r="K145" i="325"/>
  <c r="K144" i="325"/>
  <c r="K143" i="325"/>
  <c r="K141" i="325"/>
  <c r="K138" i="325"/>
  <c r="K137" i="325" s="1"/>
  <c r="K135" i="325"/>
  <c r="K134" i="325"/>
  <c r="K133" i="325"/>
  <c r="K131" i="325"/>
  <c r="K130" i="325"/>
  <c r="K129" i="325"/>
  <c r="K128" i="325"/>
  <c r="K127" i="325"/>
  <c r="K126" i="325"/>
  <c r="K125" i="325"/>
  <c r="K124" i="325"/>
  <c r="K123" i="325"/>
  <c r="K122" i="325"/>
  <c r="K121" i="325"/>
  <c r="K117" i="325"/>
  <c r="K116" i="325"/>
  <c r="K114" i="325"/>
  <c r="K113" i="325"/>
  <c r="K109" i="325"/>
  <c r="K108" i="325"/>
  <c r="K107" i="325"/>
  <c r="K106" i="325"/>
  <c r="K105" i="325"/>
  <c r="K102" i="325"/>
  <c r="K101" i="325"/>
  <c r="K100" i="325"/>
  <c r="K98" i="325"/>
  <c r="K97" i="325"/>
  <c r="K96" i="325"/>
  <c r="K95" i="325"/>
  <c r="K94" i="325"/>
  <c r="K93" i="325"/>
  <c r="K92" i="325"/>
  <c r="K91" i="325"/>
  <c r="K90" i="325"/>
  <c r="K89" i="325"/>
  <c r="K88" i="325"/>
  <c r="K87" i="325"/>
  <c r="K86" i="325"/>
  <c r="K85" i="325"/>
  <c r="K84" i="325"/>
  <c r="K83" i="325"/>
  <c r="K82" i="325"/>
  <c r="K81" i="325"/>
  <c r="K80" i="325"/>
  <c r="K79" i="325"/>
  <c r="K78" i="325"/>
  <c r="K77" i="325"/>
  <c r="K73" i="325"/>
  <c r="K72" i="325"/>
  <c r="K71" i="325"/>
  <c r="K70" i="325"/>
  <c r="K68" i="325"/>
  <c r="K67" i="325"/>
  <c r="K66" i="325"/>
  <c r="K65" i="325"/>
  <c r="K64" i="325"/>
  <c r="K62" i="325"/>
  <c r="K61" i="325"/>
  <c r="K60" i="325"/>
  <c r="K59" i="325"/>
  <c r="K58" i="325"/>
  <c r="K57" i="325"/>
  <c r="K56" i="325"/>
  <c r="K55" i="325"/>
  <c r="K54" i="325"/>
  <c r="K52" i="325"/>
  <c r="K51" i="325"/>
  <c r="K50" i="325"/>
  <c r="K49" i="325"/>
  <c r="K48" i="325"/>
  <c r="K47" i="325"/>
  <c r="K46" i="325"/>
  <c r="K44" i="325"/>
  <c r="K43" i="325"/>
  <c r="K42" i="325"/>
  <c r="K41" i="325"/>
  <c r="K40" i="325"/>
  <c r="K39" i="325"/>
  <c r="K37" i="325"/>
  <c r="K36" i="325"/>
  <c r="K35" i="325"/>
  <c r="K34" i="325"/>
  <c r="K33" i="325"/>
  <c r="K32" i="325"/>
  <c r="K31" i="325"/>
  <c r="K30" i="325"/>
  <c r="K29" i="325"/>
  <c r="K28" i="325"/>
  <c r="K26" i="325"/>
  <c r="K25" i="325"/>
  <c r="K24" i="325"/>
  <c r="K23" i="325"/>
  <c r="K22" i="325"/>
  <c r="K21" i="325"/>
  <c r="K20" i="325"/>
  <c r="K19" i="325"/>
  <c r="K18" i="325"/>
  <c r="K16" i="325"/>
  <c r="K15" i="325"/>
  <c r="K14" i="325"/>
  <c r="K12" i="325"/>
  <c r="K11" i="325"/>
  <c r="K10" i="325"/>
  <c r="K9" i="325"/>
  <c r="K166" i="326"/>
  <c r="K165" i="326" s="1"/>
  <c r="K163" i="326"/>
  <c r="K162" i="326" s="1"/>
  <c r="K160" i="326"/>
  <c r="K159" i="326" s="1"/>
  <c r="K157" i="326"/>
  <c r="K156" i="326" s="1"/>
  <c r="K154" i="326"/>
  <c r="K153" i="326" s="1"/>
  <c r="K151" i="326"/>
  <c r="K150" i="326" s="1"/>
  <c r="K148" i="326"/>
  <c r="K147" i="326"/>
  <c r="K146" i="326"/>
  <c r="K145" i="326"/>
  <c r="K144" i="326"/>
  <c r="K143" i="326"/>
  <c r="K141" i="326"/>
  <c r="K138" i="326"/>
  <c r="K137" i="326" s="1"/>
  <c r="K135" i="326"/>
  <c r="K134" i="326"/>
  <c r="K133" i="326"/>
  <c r="K131" i="326"/>
  <c r="K130" i="326"/>
  <c r="K129" i="326"/>
  <c r="K128" i="326"/>
  <c r="K127" i="326"/>
  <c r="K126" i="326"/>
  <c r="K125" i="326"/>
  <c r="K124" i="326"/>
  <c r="K123" i="326"/>
  <c r="K122" i="326"/>
  <c r="K121" i="326"/>
  <c r="K117" i="326"/>
  <c r="K116" i="326"/>
  <c r="K114" i="326"/>
  <c r="K113" i="326"/>
  <c r="K109" i="326"/>
  <c r="K108" i="326"/>
  <c r="K107" i="326"/>
  <c r="K106" i="326"/>
  <c r="K105" i="326"/>
  <c r="K102" i="326"/>
  <c r="K101" i="326"/>
  <c r="K100" i="326"/>
  <c r="K98" i="326"/>
  <c r="K97" i="326"/>
  <c r="K96" i="326"/>
  <c r="K95" i="326"/>
  <c r="K94" i="326"/>
  <c r="K93" i="326"/>
  <c r="K92" i="326"/>
  <c r="K91" i="326"/>
  <c r="K90" i="326"/>
  <c r="K89" i="326"/>
  <c r="K88" i="326"/>
  <c r="K87" i="326"/>
  <c r="K86" i="326"/>
  <c r="K85" i="326"/>
  <c r="K84" i="326"/>
  <c r="K83" i="326"/>
  <c r="K82" i="326"/>
  <c r="K81" i="326"/>
  <c r="K80" i="326"/>
  <c r="K79" i="326"/>
  <c r="K78" i="326"/>
  <c r="K77" i="326"/>
  <c r="K73" i="326"/>
  <c r="K72" i="326"/>
  <c r="K71" i="326"/>
  <c r="K70" i="326"/>
  <c r="K68" i="326"/>
  <c r="K67" i="326"/>
  <c r="K66" i="326"/>
  <c r="K65" i="326"/>
  <c r="K64" i="326"/>
  <c r="K62" i="326"/>
  <c r="K61" i="326"/>
  <c r="K60" i="326"/>
  <c r="K59" i="326"/>
  <c r="K58" i="326"/>
  <c r="K57" i="326"/>
  <c r="K56" i="326"/>
  <c r="K55" i="326"/>
  <c r="K54" i="326"/>
  <c r="K52" i="326"/>
  <c r="K51" i="326"/>
  <c r="K50" i="326"/>
  <c r="K49" i="326"/>
  <c r="K48" i="326"/>
  <c r="K47" i="326"/>
  <c r="K46" i="326"/>
  <c r="K44" i="326"/>
  <c r="K43" i="326"/>
  <c r="K42" i="326"/>
  <c r="K41" i="326"/>
  <c r="K40" i="326"/>
  <c r="K39" i="326"/>
  <c r="K37" i="326"/>
  <c r="K36" i="326"/>
  <c r="K35" i="326"/>
  <c r="K34" i="326"/>
  <c r="K33" i="326"/>
  <c r="K32" i="326"/>
  <c r="K31" i="326"/>
  <c r="K30" i="326"/>
  <c r="K29" i="326"/>
  <c r="K28" i="326"/>
  <c r="K26" i="326"/>
  <c r="K25" i="326"/>
  <c r="K24" i="326"/>
  <c r="K23" i="326"/>
  <c r="K22" i="326"/>
  <c r="K21" i="326"/>
  <c r="K20" i="326"/>
  <c r="K19" i="326"/>
  <c r="K18" i="326"/>
  <c r="K16" i="326"/>
  <c r="K15" i="326"/>
  <c r="K14" i="326"/>
  <c r="K12" i="326"/>
  <c r="K11" i="326"/>
  <c r="K10" i="326"/>
  <c r="K9" i="326"/>
  <c r="K166" i="242"/>
  <c r="K165" i="242" s="1"/>
  <c r="K163" i="242"/>
  <c r="K162" i="242" s="1"/>
  <c r="K160" i="242"/>
  <c r="K159" i="242" s="1"/>
  <c r="K157" i="242"/>
  <c r="K156" i="242" s="1"/>
  <c r="K154" i="242"/>
  <c r="K151" i="242"/>
  <c r="K150" i="242" s="1"/>
  <c r="K148" i="242"/>
  <c r="K147" i="242"/>
  <c r="K146" i="242"/>
  <c r="K145" i="242"/>
  <c r="K144" i="242"/>
  <c r="K143" i="242"/>
  <c r="K141" i="242"/>
  <c r="K138" i="242"/>
  <c r="K137" i="242" s="1"/>
  <c r="K135" i="242"/>
  <c r="K134" i="242"/>
  <c r="K133" i="242"/>
  <c r="K131" i="242"/>
  <c r="K130" i="242"/>
  <c r="K129" i="242"/>
  <c r="K128" i="242"/>
  <c r="K127" i="242"/>
  <c r="K126" i="242"/>
  <c r="K125" i="242"/>
  <c r="K124" i="242"/>
  <c r="K123" i="242"/>
  <c r="K122" i="242"/>
  <c r="K121" i="242"/>
  <c r="K117" i="242"/>
  <c r="K116" i="242"/>
  <c r="K114" i="242"/>
  <c r="K113" i="242"/>
  <c r="K109" i="242"/>
  <c r="K108" i="242"/>
  <c r="K107" i="242"/>
  <c r="K106" i="242"/>
  <c r="K105" i="242"/>
  <c r="K102" i="242"/>
  <c r="K101" i="242"/>
  <c r="K100" i="242"/>
  <c r="K98" i="242"/>
  <c r="K97" i="242"/>
  <c r="K96" i="242"/>
  <c r="K95" i="242"/>
  <c r="K94" i="242"/>
  <c r="K93" i="242"/>
  <c r="K92" i="242"/>
  <c r="K91" i="242"/>
  <c r="K90" i="242"/>
  <c r="K89" i="242"/>
  <c r="K88" i="242"/>
  <c r="K87" i="242"/>
  <c r="K86" i="242"/>
  <c r="K85" i="242"/>
  <c r="K84" i="242"/>
  <c r="K83" i="242"/>
  <c r="K82" i="242"/>
  <c r="K81" i="242"/>
  <c r="K80" i="242"/>
  <c r="K79" i="242"/>
  <c r="K78" i="242"/>
  <c r="K77" i="242"/>
  <c r="K73" i="242"/>
  <c r="K72" i="242"/>
  <c r="K71" i="242"/>
  <c r="K70" i="242"/>
  <c r="K68" i="242"/>
  <c r="K67" i="242"/>
  <c r="K66" i="242"/>
  <c r="K65" i="242"/>
  <c r="K64" i="242"/>
  <c r="K62" i="242"/>
  <c r="K61" i="242"/>
  <c r="K60" i="242"/>
  <c r="K59" i="242"/>
  <c r="K58" i="242"/>
  <c r="K57" i="242"/>
  <c r="K56" i="242"/>
  <c r="K55" i="242"/>
  <c r="K54" i="242"/>
  <c r="K52" i="242"/>
  <c r="K51" i="242"/>
  <c r="K50" i="242"/>
  <c r="K49" i="242"/>
  <c r="K48" i="242"/>
  <c r="K47" i="242"/>
  <c r="K46" i="242"/>
  <c r="K44" i="242"/>
  <c r="K43" i="242"/>
  <c r="K42" i="242"/>
  <c r="K41" i="242"/>
  <c r="K40" i="242"/>
  <c r="K39" i="242"/>
  <c r="K37" i="242"/>
  <c r="K36" i="242"/>
  <c r="K35" i="242"/>
  <c r="K34" i="242"/>
  <c r="K33" i="242"/>
  <c r="K32" i="242"/>
  <c r="K31" i="242"/>
  <c r="K30" i="242"/>
  <c r="K29" i="242"/>
  <c r="K28" i="242"/>
  <c r="K26" i="242"/>
  <c r="K25" i="242"/>
  <c r="K24" i="242"/>
  <c r="K23" i="242"/>
  <c r="K22" i="242"/>
  <c r="K21" i="242"/>
  <c r="K20" i="242"/>
  <c r="K19" i="242"/>
  <c r="K18" i="242"/>
  <c r="K16" i="242"/>
  <c r="K15" i="242"/>
  <c r="K14" i="242"/>
  <c r="K12" i="242"/>
  <c r="K11" i="242"/>
  <c r="K10" i="242"/>
  <c r="K9" i="242"/>
  <c r="E165" i="335"/>
  <c r="D165" i="335"/>
  <c r="E162" i="335"/>
  <c r="D162" i="335"/>
  <c r="E159" i="335"/>
  <c r="D159" i="335"/>
  <c r="E156" i="335"/>
  <c r="D156" i="335"/>
  <c r="E153" i="335"/>
  <c r="D153" i="335"/>
  <c r="E150" i="335"/>
  <c r="D150" i="335"/>
  <c r="E142" i="335"/>
  <c r="E140" i="335" s="1"/>
  <c r="D142" i="335"/>
  <c r="D140" i="335" s="1"/>
  <c r="E137" i="335"/>
  <c r="D137" i="335"/>
  <c r="E132" i="335"/>
  <c r="D132" i="335"/>
  <c r="E120" i="335"/>
  <c r="E119" i="335" s="1"/>
  <c r="D120" i="335"/>
  <c r="E115" i="335"/>
  <c r="D115" i="335"/>
  <c r="E112" i="335"/>
  <c r="D112" i="335"/>
  <c r="E104" i="335"/>
  <c r="D104" i="335"/>
  <c r="E99" i="335"/>
  <c r="D99" i="335"/>
  <c r="E76" i="335"/>
  <c r="D76" i="335"/>
  <c r="E69" i="335"/>
  <c r="D69" i="335"/>
  <c r="E63" i="335"/>
  <c r="D63" i="335"/>
  <c r="E53" i="335"/>
  <c r="D53" i="335"/>
  <c r="E45" i="335"/>
  <c r="D45" i="335"/>
  <c r="E38" i="335"/>
  <c r="D38" i="335"/>
  <c r="E27" i="335"/>
  <c r="D27" i="335"/>
  <c r="E17" i="335"/>
  <c r="D17" i="335"/>
  <c r="E13" i="335"/>
  <c r="D13" i="335"/>
  <c r="E8" i="335"/>
  <c r="D8" i="335"/>
  <c r="E165" i="333"/>
  <c r="D165" i="333"/>
  <c r="E162" i="333"/>
  <c r="D162" i="333"/>
  <c r="E159" i="333"/>
  <c r="D159" i="333"/>
  <c r="E156" i="333"/>
  <c r="D156" i="333"/>
  <c r="E153" i="333"/>
  <c r="D153" i="333"/>
  <c r="E150" i="333"/>
  <c r="D150" i="333"/>
  <c r="E142" i="333"/>
  <c r="E140" i="333" s="1"/>
  <c r="D142" i="333"/>
  <c r="D140" i="333" s="1"/>
  <c r="E137" i="333"/>
  <c r="D137" i="333"/>
  <c r="E132" i="333"/>
  <c r="D132" i="333"/>
  <c r="E120" i="333"/>
  <c r="E119" i="333" s="1"/>
  <c r="D120" i="333"/>
  <c r="E115" i="333"/>
  <c r="D115" i="333"/>
  <c r="E112" i="333"/>
  <c r="D112" i="333"/>
  <c r="E104" i="333"/>
  <c r="D104" i="333"/>
  <c r="E99" i="333"/>
  <c r="D99" i="333"/>
  <c r="E76" i="333"/>
  <c r="D76" i="333"/>
  <c r="E69" i="333"/>
  <c r="D69" i="333"/>
  <c r="E63" i="333"/>
  <c r="D63" i="333"/>
  <c r="E53" i="333"/>
  <c r="D53" i="333"/>
  <c r="E45" i="333"/>
  <c r="D45" i="333"/>
  <c r="E38" i="333"/>
  <c r="D38" i="333"/>
  <c r="E27" i="333"/>
  <c r="D27" i="333"/>
  <c r="E17" i="333"/>
  <c r="D17" i="333"/>
  <c r="E13" i="333"/>
  <c r="D13" i="333"/>
  <c r="E8" i="333"/>
  <c r="D8" i="333"/>
  <c r="E165" i="325"/>
  <c r="D165" i="325"/>
  <c r="E162" i="325"/>
  <c r="D162" i="325"/>
  <c r="E159" i="325"/>
  <c r="D159" i="325"/>
  <c r="E156" i="325"/>
  <c r="D156" i="325"/>
  <c r="E153" i="325"/>
  <c r="D153" i="325"/>
  <c r="E150" i="325"/>
  <c r="D150" i="325"/>
  <c r="E142" i="325"/>
  <c r="E140" i="325" s="1"/>
  <c r="D142" i="325"/>
  <c r="D140" i="325" s="1"/>
  <c r="E137" i="325"/>
  <c r="D137" i="325"/>
  <c r="E132" i="325"/>
  <c r="D132" i="325"/>
  <c r="E120" i="325"/>
  <c r="D120" i="325"/>
  <c r="E115" i="325"/>
  <c r="D115" i="325"/>
  <c r="E112" i="325"/>
  <c r="D112" i="325"/>
  <c r="E104" i="325"/>
  <c r="D104" i="325"/>
  <c r="E99" i="325"/>
  <c r="D99" i="325"/>
  <c r="E76" i="325"/>
  <c r="D76" i="325"/>
  <c r="E69" i="325"/>
  <c r="D69" i="325"/>
  <c r="E63" i="325"/>
  <c r="D63" i="325"/>
  <c r="E53" i="325"/>
  <c r="D53" i="325"/>
  <c r="E45" i="325"/>
  <c r="D45" i="325"/>
  <c r="E38" i="325"/>
  <c r="D38" i="325"/>
  <c r="E27" i="325"/>
  <c r="D27" i="325"/>
  <c r="E17" i="325"/>
  <c r="D17" i="325"/>
  <c r="E13" i="325"/>
  <c r="D13" i="325"/>
  <c r="E8" i="325"/>
  <c r="D8" i="325"/>
  <c r="E165" i="326"/>
  <c r="D165" i="326"/>
  <c r="E162" i="326"/>
  <c r="D162" i="326"/>
  <c r="E159" i="326"/>
  <c r="D159" i="326"/>
  <c r="E156" i="326"/>
  <c r="D156" i="326"/>
  <c r="E153" i="326"/>
  <c r="D153" i="326"/>
  <c r="E150" i="326"/>
  <c r="D150" i="326"/>
  <c r="E142" i="326"/>
  <c r="E140" i="326" s="1"/>
  <c r="D142" i="326"/>
  <c r="D140" i="326" s="1"/>
  <c r="E137" i="326"/>
  <c r="D137" i="326"/>
  <c r="E132" i="326"/>
  <c r="D132" i="326"/>
  <c r="E120" i="326"/>
  <c r="D120" i="326"/>
  <c r="E115" i="326"/>
  <c r="D115" i="326"/>
  <c r="E112" i="326"/>
  <c r="D112" i="326"/>
  <c r="E104" i="326"/>
  <c r="D104" i="326"/>
  <c r="E99" i="326"/>
  <c r="D99" i="326"/>
  <c r="E76" i="326"/>
  <c r="D76" i="326"/>
  <c r="E69" i="326"/>
  <c r="D69" i="326"/>
  <c r="E63" i="326"/>
  <c r="D63" i="326"/>
  <c r="E53" i="326"/>
  <c r="D53" i="326"/>
  <c r="E45" i="326"/>
  <c r="D45" i="326"/>
  <c r="E38" i="326"/>
  <c r="D38" i="326"/>
  <c r="E27" i="326"/>
  <c r="D27" i="326"/>
  <c r="E17" i="326"/>
  <c r="D17" i="326"/>
  <c r="E13" i="326"/>
  <c r="D13" i="326"/>
  <c r="E8" i="326"/>
  <c r="D8" i="326"/>
  <c r="E165" i="242"/>
  <c r="E162" i="242"/>
  <c r="E159" i="242"/>
  <c r="E156" i="242"/>
  <c r="E153" i="242"/>
  <c r="E150" i="242"/>
  <c r="E142" i="242"/>
  <c r="E140" i="242" s="1"/>
  <c r="E137" i="242"/>
  <c r="E132" i="242"/>
  <c r="E120" i="242"/>
  <c r="E115" i="242"/>
  <c r="E112" i="242"/>
  <c r="E104" i="242"/>
  <c r="E99" i="242"/>
  <c r="E76" i="242"/>
  <c r="E69" i="242"/>
  <c r="E63" i="242"/>
  <c r="E53" i="242"/>
  <c r="E45" i="242"/>
  <c r="E38" i="242"/>
  <c r="E27" i="242"/>
  <c r="E17" i="242"/>
  <c r="E13" i="242"/>
  <c r="E8" i="242"/>
  <c r="D165" i="242"/>
  <c r="D162" i="242"/>
  <c r="D159" i="242"/>
  <c r="D156" i="242"/>
  <c r="D153" i="242"/>
  <c r="D150" i="242"/>
  <c r="D142" i="242"/>
  <c r="D140" i="242" s="1"/>
  <c r="D137" i="242"/>
  <c r="D132" i="242"/>
  <c r="D120" i="242"/>
  <c r="D115" i="242"/>
  <c r="D112" i="242"/>
  <c r="D104" i="242"/>
  <c r="D99" i="242"/>
  <c r="D76" i="242"/>
  <c r="D69" i="242"/>
  <c r="D63" i="242"/>
  <c r="D53" i="242"/>
  <c r="D45" i="242"/>
  <c r="D38" i="242"/>
  <c r="D27" i="242"/>
  <c r="D17" i="242"/>
  <c r="D13" i="242"/>
  <c r="D8" i="242"/>
  <c r="I118" i="335"/>
  <c r="J118" i="335" s="1"/>
  <c r="I103" i="335"/>
  <c r="J103" i="335" s="1"/>
  <c r="I103" i="333"/>
  <c r="J103" i="333" s="1"/>
  <c r="I118" i="333"/>
  <c r="J118" i="333" s="1"/>
  <c r="I118" i="325"/>
  <c r="J118" i="325" s="1"/>
  <c r="I118" i="326"/>
  <c r="J118" i="326" s="1"/>
  <c r="I103" i="326"/>
  <c r="J103" i="326" s="1"/>
  <c r="I103" i="242"/>
  <c r="J103" i="242" s="1"/>
  <c r="I118" i="242"/>
  <c r="J118" i="242" s="1"/>
  <c r="K45" i="318"/>
  <c r="K44" i="318"/>
  <c r="K43" i="318"/>
  <c r="K42" i="318"/>
  <c r="K41" i="318"/>
  <c r="K40" i="318"/>
  <c r="K39" i="318"/>
  <c r="K38" i="318"/>
  <c r="K37" i="318"/>
  <c r="K36" i="318"/>
  <c r="K35" i="318"/>
  <c r="K34" i="318"/>
  <c r="K29" i="318"/>
  <c r="K28" i="318"/>
  <c r="K27" i="318"/>
  <c r="K26" i="318"/>
  <c r="K25" i="318"/>
  <c r="K24" i="318"/>
  <c r="K23" i="318"/>
  <c r="K22" i="318"/>
  <c r="K21" i="318"/>
  <c r="K20" i="318"/>
  <c r="K19" i="318"/>
  <c r="K18" i="318"/>
  <c r="K13" i="318"/>
  <c r="K12" i="318"/>
  <c r="K11" i="318"/>
  <c r="K10" i="318"/>
  <c r="K9" i="318"/>
  <c r="K8" i="318"/>
  <c r="K7" i="318"/>
  <c r="H45" i="318"/>
  <c r="I45" i="318" s="1"/>
  <c r="J45" i="318" s="1"/>
  <c r="H44" i="318"/>
  <c r="I44" i="318" s="1"/>
  <c r="J44" i="318" s="1"/>
  <c r="H43" i="318"/>
  <c r="I43" i="318" s="1"/>
  <c r="J43" i="318" s="1"/>
  <c r="H42" i="318"/>
  <c r="I42" i="318" s="1"/>
  <c r="J42" i="318" s="1"/>
  <c r="H41" i="318"/>
  <c r="I41" i="318" s="1"/>
  <c r="J41" i="318" s="1"/>
  <c r="H40" i="318"/>
  <c r="I40" i="318" s="1"/>
  <c r="J40" i="318" s="1"/>
  <c r="H39" i="318"/>
  <c r="I39" i="318" s="1"/>
  <c r="J39" i="318" s="1"/>
  <c r="H38" i="318"/>
  <c r="I38" i="318" s="1"/>
  <c r="J38" i="318" s="1"/>
  <c r="H37" i="318"/>
  <c r="I37" i="318" s="1"/>
  <c r="J37" i="318" s="1"/>
  <c r="H36" i="318"/>
  <c r="I36" i="318" s="1"/>
  <c r="J36" i="318" s="1"/>
  <c r="H35" i="318"/>
  <c r="I35" i="318" s="1"/>
  <c r="J35" i="318" s="1"/>
  <c r="H34" i="318"/>
  <c r="I34" i="318" s="1"/>
  <c r="J34" i="318" s="1"/>
  <c r="H29" i="318"/>
  <c r="I29" i="318" s="1"/>
  <c r="J29" i="318" s="1"/>
  <c r="H28" i="318"/>
  <c r="I28" i="318" s="1"/>
  <c r="J28" i="318" s="1"/>
  <c r="H27" i="318"/>
  <c r="I27" i="318" s="1"/>
  <c r="J27" i="318" s="1"/>
  <c r="H26" i="318"/>
  <c r="I26" i="318" s="1"/>
  <c r="J26" i="318" s="1"/>
  <c r="H25" i="318"/>
  <c r="I25" i="318" s="1"/>
  <c r="J25" i="318" s="1"/>
  <c r="H24" i="318"/>
  <c r="I24" i="318" s="1"/>
  <c r="J24" i="318" s="1"/>
  <c r="H23" i="318"/>
  <c r="I23" i="318" s="1"/>
  <c r="J23" i="318" s="1"/>
  <c r="H22" i="318"/>
  <c r="I22" i="318" s="1"/>
  <c r="J22" i="318" s="1"/>
  <c r="H21" i="318"/>
  <c r="I21" i="318" s="1"/>
  <c r="J21" i="318" s="1"/>
  <c r="H20" i="318"/>
  <c r="I20" i="318" s="1"/>
  <c r="J20" i="318" s="1"/>
  <c r="H19" i="318"/>
  <c r="I19" i="318" s="1"/>
  <c r="J19" i="318" s="1"/>
  <c r="H18" i="318"/>
  <c r="I18" i="318" s="1"/>
  <c r="J18" i="318" s="1"/>
  <c r="H13" i="318"/>
  <c r="I13" i="318" s="1"/>
  <c r="J13" i="318" s="1"/>
  <c r="H12" i="318"/>
  <c r="I12" i="318" s="1"/>
  <c r="J12" i="318" s="1"/>
  <c r="H11" i="318"/>
  <c r="I11" i="318" s="1"/>
  <c r="J11" i="318" s="1"/>
  <c r="H10" i="318"/>
  <c r="I10" i="318" s="1"/>
  <c r="J10" i="318" s="1"/>
  <c r="H9" i="318"/>
  <c r="I9" i="318" s="1"/>
  <c r="J9" i="318" s="1"/>
  <c r="H8" i="318"/>
  <c r="I8" i="318" s="1"/>
  <c r="J8" i="318" s="1"/>
  <c r="H7" i="318"/>
  <c r="I7" i="318" s="1"/>
  <c r="J7" i="318" s="1"/>
  <c r="H47" i="182"/>
  <c r="G24" i="267" s="1"/>
  <c r="H45" i="182"/>
  <c r="H43" i="182"/>
  <c r="I43" i="182" s="1"/>
  <c r="J43" i="182" s="1"/>
  <c r="H41" i="182"/>
  <c r="I41" i="182" s="1"/>
  <c r="J41" i="182" s="1"/>
  <c r="H40" i="182"/>
  <c r="H39" i="182"/>
  <c r="I39" i="182" s="1"/>
  <c r="J39" i="182" s="1"/>
  <c r="H35" i="182"/>
  <c r="I35" i="182" s="1"/>
  <c r="J35" i="182" s="1"/>
  <c r="H34" i="182"/>
  <c r="I34" i="182" s="1"/>
  <c r="J34" i="182" s="1"/>
  <c r="H33" i="182"/>
  <c r="G17" i="267" s="1"/>
  <c r="H32" i="182"/>
  <c r="I32" i="182" s="1"/>
  <c r="J32" i="182" s="1"/>
  <c r="H31" i="182"/>
  <c r="I31" i="182" s="1"/>
  <c r="J31" i="182" s="1"/>
  <c r="H30" i="182"/>
  <c r="I30" i="182" s="1"/>
  <c r="J30" i="182" s="1"/>
  <c r="H29" i="182"/>
  <c r="I29" i="182" s="1"/>
  <c r="J29" i="182" s="1"/>
  <c r="H28" i="182"/>
  <c r="H27" i="182"/>
  <c r="I27" i="182" s="1"/>
  <c r="J27" i="182" s="1"/>
  <c r="H26" i="182"/>
  <c r="G13" i="267" s="1"/>
  <c r="H25" i="182"/>
  <c r="G12" i="267" s="1"/>
  <c r="H21" i="182"/>
  <c r="I21" i="182" s="1"/>
  <c r="J21" i="182" s="1"/>
  <c r="H20" i="182"/>
  <c r="I20" i="182" s="1"/>
  <c r="J20" i="182" s="1"/>
  <c r="H19" i="182"/>
  <c r="G9" i="267" s="1"/>
  <c r="H18" i="182"/>
  <c r="I18" i="182" s="1"/>
  <c r="J18" i="182" s="1"/>
  <c r="H17" i="182"/>
  <c r="I17" i="182" s="1"/>
  <c r="J17" i="182" s="1"/>
  <c r="H16" i="182"/>
  <c r="I16" i="182" s="1"/>
  <c r="J16" i="182" s="1"/>
  <c r="H15" i="182"/>
  <c r="I15" i="182" s="1"/>
  <c r="J15" i="182" s="1"/>
  <c r="H14" i="182"/>
  <c r="I14" i="182" s="1"/>
  <c r="J14" i="182" s="1"/>
  <c r="H13" i="182"/>
  <c r="I13" i="182" s="1"/>
  <c r="J13" i="182" s="1"/>
  <c r="H12" i="182"/>
  <c r="I12" i="182" s="1"/>
  <c r="J12" i="182" s="1"/>
  <c r="H11" i="182"/>
  <c r="I11" i="182" s="1"/>
  <c r="J11" i="182" s="1"/>
  <c r="H10" i="182"/>
  <c r="I10" i="182" s="1"/>
  <c r="J10" i="182" s="1"/>
  <c r="H9" i="182"/>
  <c r="I9" i="182" s="1"/>
  <c r="J9" i="182" s="1"/>
  <c r="H8" i="182"/>
  <c r="I8" i="182" s="1"/>
  <c r="J8" i="182" s="1"/>
  <c r="H7" i="182"/>
  <c r="H6" i="182"/>
  <c r="G6" i="267" s="1"/>
  <c r="K73" i="268"/>
  <c r="J32" i="267" s="1"/>
  <c r="K72" i="268"/>
  <c r="H47" i="174" s="1"/>
  <c r="K71" i="268"/>
  <c r="J30" i="267" s="1"/>
  <c r="K69" i="268"/>
  <c r="K68" i="268"/>
  <c r="K67" i="268"/>
  <c r="K66" i="268"/>
  <c r="K62" i="268"/>
  <c r="K61" i="268"/>
  <c r="K60" i="268"/>
  <c r="K59" i="268"/>
  <c r="K58" i="268"/>
  <c r="K56" i="268"/>
  <c r="K55" i="268"/>
  <c r="K54" i="268"/>
  <c r="K52" i="268"/>
  <c r="K51" i="268"/>
  <c r="K50" i="268"/>
  <c r="K49" i="268"/>
  <c r="K48" i="268"/>
  <c r="K46" i="268"/>
  <c r="K45" i="268"/>
  <c r="K44" i="268"/>
  <c r="K238" i="324"/>
  <c r="K237" i="324"/>
  <c r="K236" i="324"/>
  <c r="K235" i="324"/>
  <c r="K234" i="324"/>
  <c r="K233" i="324"/>
  <c r="K232" i="324"/>
  <c r="K229" i="324"/>
  <c r="K228" i="324"/>
  <c r="K227" i="324"/>
  <c r="K226" i="324"/>
  <c r="K225" i="324"/>
  <c r="K224" i="324"/>
  <c r="K223" i="324"/>
  <c r="K222" i="324"/>
  <c r="K221" i="324"/>
  <c r="K213" i="324"/>
  <c r="K212" i="324"/>
  <c r="K211" i="324"/>
  <c r="K210" i="324"/>
  <c r="K205" i="324"/>
  <c r="K204" i="324"/>
  <c r="K203" i="324"/>
  <c r="K202" i="324"/>
  <c r="K201" i="324"/>
  <c r="K200" i="324"/>
  <c r="K199" i="324"/>
  <c r="K193" i="324"/>
  <c r="K192" i="324"/>
  <c r="K191" i="324"/>
  <c r="K190" i="324"/>
  <c r="K189" i="324"/>
  <c r="K188" i="324"/>
  <c r="K178" i="324"/>
  <c r="K177" i="324"/>
  <c r="K69" i="324"/>
  <c r="K68" i="324"/>
  <c r="K67" i="324"/>
  <c r="K66" i="324"/>
  <c r="K65" i="324"/>
  <c r="K64" i="324"/>
  <c r="K63" i="324"/>
  <c r="K59" i="324"/>
  <c r="K58" i="324"/>
  <c r="K57" i="324"/>
  <c r="K56" i="324"/>
  <c r="K55" i="324"/>
  <c r="K54" i="324"/>
  <c r="K53" i="324"/>
  <c r="K52" i="324"/>
  <c r="K44" i="324"/>
  <c r="K43" i="324"/>
  <c r="K42" i="324"/>
  <c r="K41" i="324"/>
  <c r="K36" i="324"/>
  <c r="K35" i="324"/>
  <c r="K34" i="324"/>
  <c r="K33" i="324"/>
  <c r="K32" i="324"/>
  <c r="K31" i="324"/>
  <c r="K30" i="324"/>
  <c r="K22" i="324"/>
  <c r="K21" i="324"/>
  <c r="K20" i="324"/>
  <c r="K19" i="324"/>
  <c r="K9" i="324"/>
  <c r="K8" i="324"/>
  <c r="K47" i="182"/>
  <c r="J24" i="267" s="1"/>
  <c r="K45" i="182"/>
  <c r="K43" i="182"/>
  <c r="K41" i="182"/>
  <c r="K40" i="182"/>
  <c r="K39" i="182"/>
  <c r="H57" i="174" s="1"/>
  <c r="K35" i="182"/>
  <c r="K34" i="182"/>
  <c r="K33" i="182"/>
  <c r="J17" i="267" s="1"/>
  <c r="K32" i="182"/>
  <c r="K31" i="182"/>
  <c r="K30" i="182"/>
  <c r="K29" i="182"/>
  <c r="J15" i="267" s="1"/>
  <c r="K28" i="182"/>
  <c r="J14" i="267" s="1"/>
  <c r="K27" i="182"/>
  <c r="K26" i="182"/>
  <c r="K25" i="182"/>
  <c r="J12" i="267" s="1"/>
  <c r="K21" i="182"/>
  <c r="K20" i="182"/>
  <c r="K19" i="182"/>
  <c r="H56" i="174" s="1"/>
  <c r="K18" i="182"/>
  <c r="K17" i="182"/>
  <c r="K16" i="182"/>
  <c r="K15" i="182"/>
  <c r="K14" i="182"/>
  <c r="K13" i="182"/>
  <c r="J8" i="267" s="1"/>
  <c r="K12" i="182"/>
  <c r="K11" i="182"/>
  <c r="K10" i="182"/>
  <c r="K9" i="182"/>
  <c r="K8" i="182"/>
  <c r="K7" i="182"/>
  <c r="K6" i="182"/>
  <c r="J6" i="267" s="1"/>
  <c r="K236" i="323"/>
  <c r="H236" i="323"/>
  <c r="I236" i="323" s="1"/>
  <c r="J236" i="323" s="1"/>
  <c r="K235" i="323"/>
  <c r="H235" i="323"/>
  <c r="I235" i="323" s="1"/>
  <c r="J235" i="323" s="1"/>
  <c r="K234" i="323"/>
  <c r="H234" i="323"/>
  <c r="I234" i="323" s="1"/>
  <c r="J234" i="323" s="1"/>
  <c r="K233" i="323"/>
  <c r="H233" i="323"/>
  <c r="I233" i="323" s="1"/>
  <c r="J233" i="323" s="1"/>
  <c r="K232" i="323"/>
  <c r="H232" i="323"/>
  <c r="I232" i="323" s="1"/>
  <c r="J232" i="323" s="1"/>
  <c r="K231" i="323"/>
  <c r="H231" i="323"/>
  <c r="I231" i="323" s="1"/>
  <c r="J231" i="323" s="1"/>
  <c r="K230" i="323"/>
  <c r="H230" i="323"/>
  <c r="I230" i="323" s="1"/>
  <c r="J230" i="323" s="1"/>
  <c r="K227" i="323"/>
  <c r="H227" i="323"/>
  <c r="I227" i="323" s="1"/>
  <c r="J227" i="323" s="1"/>
  <c r="K226" i="323"/>
  <c r="H226" i="323"/>
  <c r="I226" i="323" s="1"/>
  <c r="J226" i="323" s="1"/>
  <c r="K225" i="323"/>
  <c r="H225" i="323"/>
  <c r="I225" i="323" s="1"/>
  <c r="J225" i="323" s="1"/>
  <c r="K224" i="323"/>
  <c r="H224" i="323"/>
  <c r="I224" i="323" s="1"/>
  <c r="J224" i="323" s="1"/>
  <c r="K223" i="323"/>
  <c r="H223" i="323"/>
  <c r="I223" i="323" s="1"/>
  <c r="J223" i="323" s="1"/>
  <c r="K222" i="323"/>
  <c r="H222" i="323"/>
  <c r="I222" i="323" s="1"/>
  <c r="J222" i="323" s="1"/>
  <c r="K221" i="323"/>
  <c r="H221" i="323"/>
  <c r="I221" i="323" s="1"/>
  <c r="J221" i="323" s="1"/>
  <c r="K220" i="323"/>
  <c r="H220" i="323"/>
  <c r="I220" i="323" s="1"/>
  <c r="J220" i="323" s="1"/>
  <c r="K219" i="323"/>
  <c r="H219" i="323"/>
  <c r="I219" i="323" s="1"/>
  <c r="J219" i="323" s="1"/>
  <c r="K211" i="323"/>
  <c r="H211" i="323"/>
  <c r="I211" i="323" s="1"/>
  <c r="J211" i="323" s="1"/>
  <c r="K210" i="323"/>
  <c r="H210" i="323"/>
  <c r="I210" i="323" s="1"/>
  <c r="J210" i="323" s="1"/>
  <c r="K209" i="323"/>
  <c r="H209" i="323"/>
  <c r="I209" i="323" s="1"/>
  <c r="J209" i="323" s="1"/>
  <c r="K208" i="323"/>
  <c r="H208" i="323"/>
  <c r="I208" i="323" s="1"/>
  <c r="J208" i="323" s="1"/>
  <c r="K203" i="323"/>
  <c r="H203" i="323"/>
  <c r="I203" i="323" s="1"/>
  <c r="J203" i="323" s="1"/>
  <c r="K202" i="323"/>
  <c r="H202" i="323"/>
  <c r="I202" i="323" s="1"/>
  <c r="J202" i="323" s="1"/>
  <c r="K201" i="323"/>
  <c r="H201" i="323"/>
  <c r="I201" i="323" s="1"/>
  <c r="J201" i="323" s="1"/>
  <c r="K200" i="323"/>
  <c r="H200" i="323"/>
  <c r="I200" i="323" s="1"/>
  <c r="J200" i="323" s="1"/>
  <c r="K199" i="323"/>
  <c r="H199" i="323"/>
  <c r="I199" i="323" s="1"/>
  <c r="J199" i="323" s="1"/>
  <c r="K198" i="323"/>
  <c r="H198" i="323"/>
  <c r="I198" i="323" s="1"/>
  <c r="J198" i="323" s="1"/>
  <c r="K197" i="323"/>
  <c r="H197" i="323"/>
  <c r="I197" i="323" s="1"/>
  <c r="J197" i="323" s="1"/>
  <c r="K191" i="323"/>
  <c r="H191" i="323"/>
  <c r="I191" i="323" s="1"/>
  <c r="J191" i="323" s="1"/>
  <c r="K190" i="323"/>
  <c r="H190" i="323"/>
  <c r="I190" i="323" s="1"/>
  <c r="J190" i="323" s="1"/>
  <c r="K189" i="323"/>
  <c r="H189" i="323"/>
  <c r="I189" i="323" s="1"/>
  <c r="J189" i="323" s="1"/>
  <c r="K188" i="323"/>
  <c r="H188" i="323"/>
  <c r="I188" i="323" s="1"/>
  <c r="J188" i="323" s="1"/>
  <c r="K187" i="323"/>
  <c r="H187" i="323"/>
  <c r="I187" i="323" s="1"/>
  <c r="J187" i="323" s="1"/>
  <c r="K186" i="323"/>
  <c r="H186" i="323"/>
  <c r="I186" i="323" s="1"/>
  <c r="J186" i="323" s="1"/>
  <c r="K176" i="323"/>
  <c r="H176" i="323"/>
  <c r="I176" i="323" s="1"/>
  <c r="J176" i="323" s="1"/>
  <c r="K175" i="323"/>
  <c r="H175" i="323"/>
  <c r="I175" i="323" s="1"/>
  <c r="J175" i="323" s="1"/>
  <c r="K68" i="323"/>
  <c r="H68" i="323"/>
  <c r="I68" i="323" s="1"/>
  <c r="J68" i="323" s="1"/>
  <c r="K67" i="323"/>
  <c r="H67" i="323"/>
  <c r="I67" i="323" s="1"/>
  <c r="J67" i="323" s="1"/>
  <c r="K66" i="323"/>
  <c r="H66" i="323"/>
  <c r="I66" i="323" s="1"/>
  <c r="J66" i="323" s="1"/>
  <c r="K65" i="323"/>
  <c r="H65" i="323"/>
  <c r="I65" i="323" s="1"/>
  <c r="J65" i="323" s="1"/>
  <c r="K64" i="323"/>
  <c r="H64" i="323"/>
  <c r="I64" i="323" s="1"/>
  <c r="J64" i="323" s="1"/>
  <c r="K63" i="323"/>
  <c r="H63" i="323"/>
  <c r="I63" i="323" s="1"/>
  <c r="J63" i="323" s="1"/>
  <c r="K62" i="323"/>
  <c r="H62" i="323"/>
  <c r="I62" i="323" s="1"/>
  <c r="J62" i="323" s="1"/>
  <c r="K59" i="323"/>
  <c r="H59" i="323"/>
  <c r="I59" i="323" s="1"/>
  <c r="J59" i="323" s="1"/>
  <c r="K58" i="323"/>
  <c r="H58" i="323"/>
  <c r="I58" i="323" s="1"/>
  <c r="J58" i="323" s="1"/>
  <c r="K57" i="323"/>
  <c r="H57" i="323"/>
  <c r="I57" i="323" s="1"/>
  <c r="J57" i="323" s="1"/>
  <c r="K56" i="323"/>
  <c r="H56" i="323"/>
  <c r="I56" i="323" s="1"/>
  <c r="J56" i="323" s="1"/>
  <c r="K55" i="323"/>
  <c r="H55" i="323"/>
  <c r="I55" i="323" s="1"/>
  <c r="J55" i="323" s="1"/>
  <c r="K54" i="323"/>
  <c r="H54" i="323"/>
  <c r="I54" i="323" s="1"/>
  <c r="J54" i="323" s="1"/>
  <c r="K53" i="323"/>
  <c r="H53" i="323"/>
  <c r="I53" i="323" s="1"/>
  <c r="J53" i="323" s="1"/>
  <c r="K52" i="323"/>
  <c r="H52" i="323"/>
  <c r="I52" i="323" s="1"/>
  <c r="J52" i="323" s="1"/>
  <c r="K51" i="323"/>
  <c r="H51" i="323"/>
  <c r="I51" i="323" s="1"/>
  <c r="J51" i="323" s="1"/>
  <c r="K43" i="323"/>
  <c r="H43" i="323"/>
  <c r="I43" i="323" s="1"/>
  <c r="J43" i="323" s="1"/>
  <c r="K42" i="323"/>
  <c r="H42" i="323"/>
  <c r="I42" i="323" s="1"/>
  <c r="J42" i="323" s="1"/>
  <c r="K41" i="323"/>
  <c r="H41" i="323"/>
  <c r="I41" i="323" s="1"/>
  <c r="J41" i="323" s="1"/>
  <c r="K40" i="323"/>
  <c r="H40" i="323"/>
  <c r="I40" i="323" s="1"/>
  <c r="J40" i="323" s="1"/>
  <c r="K35" i="323"/>
  <c r="H35" i="323"/>
  <c r="I35" i="323" s="1"/>
  <c r="J35" i="323" s="1"/>
  <c r="K34" i="323"/>
  <c r="H34" i="323"/>
  <c r="I34" i="323" s="1"/>
  <c r="J34" i="323" s="1"/>
  <c r="K33" i="323"/>
  <c r="H33" i="323"/>
  <c r="I33" i="323" s="1"/>
  <c r="J33" i="323" s="1"/>
  <c r="K32" i="323"/>
  <c r="H32" i="323"/>
  <c r="I32" i="323" s="1"/>
  <c r="J32" i="323" s="1"/>
  <c r="K31" i="323"/>
  <c r="H31" i="323"/>
  <c r="I31" i="323" s="1"/>
  <c r="J31" i="323" s="1"/>
  <c r="K30" i="323"/>
  <c r="H30" i="323"/>
  <c r="K29" i="323"/>
  <c r="H29" i="323"/>
  <c r="I29" i="323" s="1"/>
  <c r="J29" i="323" s="1"/>
  <c r="K23" i="323"/>
  <c r="H23" i="323"/>
  <c r="I23" i="323" s="1"/>
  <c r="J23" i="323" s="1"/>
  <c r="K22" i="323"/>
  <c r="H22" i="323"/>
  <c r="I22" i="323" s="1"/>
  <c r="J22" i="323" s="1"/>
  <c r="K21" i="323"/>
  <c r="H21" i="323"/>
  <c r="I21" i="323" s="1"/>
  <c r="J21" i="323" s="1"/>
  <c r="K20" i="323"/>
  <c r="H20" i="323"/>
  <c r="I20" i="323" s="1"/>
  <c r="J20" i="323" s="1"/>
  <c r="K19" i="323"/>
  <c r="H19" i="323"/>
  <c r="I19" i="323" s="1"/>
  <c r="J19" i="323" s="1"/>
  <c r="K18" i="323"/>
  <c r="H18" i="323"/>
  <c r="I18" i="323" s="1"/>
  <c r="J18" i="323" s="1"/>
  <c r="K8" i="323"/>
  <c r="H8" i="323"/>
  <c r="I8" i="323" s="1"/>
  <c r="J8" i="323" s="1"/>
  <c r="H7" i="323"/>
  <c r="I7" i="323" s="1"/>
  <c r="J7" i="323" s="1"/>
  <c r="K7" i="323"/>
  <c r="K6" i="323" s="1"/>
  <c r="K6" i="272" s="1"/>
  <c r="K248" i="330"/>
  <c r="H248" i="330"/>
  <c r="I248" i="330" s="1"/>
  <c r="J248" i="330" s="1"/>
  <c r="K247" i="330"/>
  <c r="H247" i="330"/>
  <c r="I247" i="330" s="1"/>
  <c r="J247" i="330" s="1"/>
  <c r="K246" i="330"/>
  <c r="H246" i="330"/>
  <c r="I246" i="330" s="1"/>
  <c r="J246" i="330" s="1"/>
  <c r="K245" i="330"/>
  <c r="H245" i="330"/>
  <c r="I245" i="330" s="1"/>
  <c r="J245" i="330" s="1"/>
  <c r="K244" i="330"/>
  <c r="H244" i="330"/>
  <c r="I244" i="330" s="1"/>
  <c r="J244" i="330" s="1"/>
  <c r="K243" i="330"/>
  <c r="H243" i="330"/>
  <c r="I243" i="330" s="1"/>
  <c r="J243" i="330" s="1"/>
  <c r="K241" i="330"/>
  <c r="H241" i="330"/>
  <c r="I241" i="330" s="1"/>
  <c r="J241" i="330" s="1"/>
  <c r="K240" i="330"/>
  <c r="H240" i="330"/>
  <c r="I240" i="330" s="1"/>
  <c r="J240" i="330" s="1"/>
  <c r="K239" i="330"/>
  <c r="H239" i="330"/>
  <c r="I239" i="330" s="1"/>
  <c r="J239" i="330" s="1"/>
  <c r="K238" i="330"/>
  <c r="H238" i="330"/>
  <c r="I238" i="330" s="1"/>
  <c r="J238" i="330" s="1"/>
  <c r="K236" i="330"/>
  <c r="H236" i="330"/>
  <c r="I236" i="330" s="1"/>
  <c r="J236" i="330" s="1"/>
  <c r="K235" i="330"/>
  <c r="H235" i="330"/>
  <c r="I235" i="330" s="1"/>
  <c r="J235" i="330" s="1"/>
  <c r="K234" i="330"/>
  <c r="H234" i="330"/>
  <c r="I234" i="330" s="1"/>
  <c r="J234" i="330" s="1"/>
  <c r="K233" i="330"/>
  <c r="H233" i="330"/>
  <c r="I233" i="330" s="1"/>
  <c r="J233" i="330" s="1"/>
  <c r="K231" i="330"/>
  <c r="H231" i="330"/>
  <c r="I231" i="330" s="1"/>
  <c r="J231" i="330" s="1"/>
  <c r="K230" i="330"/>
  <c r="H230" i="330"/>
  <c r="I230" i="330" s="1"/>
  <c r="J230" i="330" s="1"/>
  <c r="K229" i="330"/>
  <c r="H229" i="330"/>
  <c r="I229" i="330" s="1"/>
  <c r="J229" i="330" s="1"/>
  <c r="K227" i="330"/>
  <c r="H227" i="330"/>
  <c r="I227" i="330" s="1"/>
  <c r="J227" i="330" s="1"/>
  <c r="K226" i="330"/>
  <c r="H226" i="330"/>
  <c r="K225" i="330"/>
  <c r="H225" i="330"/>
  <c r="I225" i="330" s="1"/>
  <c r="J225" i="330" s="1"/>
  <c r="K222" i="330"/>
  <c r="H222" i="330"/>
  <c r="I222" i="330" s="1"/>
  <c r="J222" i="330" s="1"/>
  <c r="K221" i="330"/>
  <c r="H221" i="330"/>
  <c r="I221" i="330" s="1"/>
  <c r="J221" i="330" s="1"/>
  <c r="K220" i="330"/>
  <c r="H220" i="330"/>
  <c r="I220" i="330" s="1"/>
  <c r="J220" i="330" s="1"/>
  <c r="K219" i="330"/>
  <c r="H219" i="330"/>
  <c r="I219" i="330" s="1"/>
  <c r="J219" i="330" s="1"/>
  <c r="K218" i="330"/>
  <c r="H218" i="330"/>
  <c r="K217" i="330"/>
  <c r="H217" i="330"/>
  <c r="I217" i="330" s="1"/>
  <c r="J217" i="330" s="1"/>
  <c r="K215" i="330"/>
  <c r="H215" i="330"/>
  <c r="I215" i="330" s="1"/>
  <c r="J215" i="330" s="1"/>
  <c r="K214" i="330"/>
  <c r="H214" i="330"/>
  <c r="I214" i="330" s="1"/>
  <c r="J214" i="330" s="1"/>
  <c r="K213" i="330"/>
  <c r="H213" i="330"/>
  <c r="I213" i="330" s="1"/>
  <c r="J213" i="330" s="1"/>
  <c r="K212" i="330"/>
  <c r="H212" i="330"/>
  <c r="I212" i="330" s="1"/>
  <c r="J212" i="330" s="1"/>
  <c r="K211" i="330"/>
  <c r="H211" i="330"/>
  <c r="I211" i="330" s="1"/>
  <c r="J211" i="330" s="1"/>
  <c r="K210" i="330"/>
  <c r="H210" i="330"/>
  <c r="I210" i="330" s="1"/>
  <c r="J210" i="330" s="1"/>
  <c r="K208" i="330"/>
  <c r="H208" i="330"/>
  <c r="I208" i="330" s="1"/>
  <c r="J208" i="330" s="1"/>
  <c r="K207" i="330"/>
  <c r="H207" i="330"/>
  <c r="I207" i="330" s="1"/>
  <c r="J207" i="330" s="1"/>
  <c r="K206" i="330"/>
  <c r="H206" i="330"/>
  <c r="I206" i="330" s="1"/>
  <c r="J206" i="330" s="1"/>
  <c r="K205" i="330"/>
  <c r="H205" i="330"/>
  <c r="I205" i="330" s="1"/>
  <c r="J205" i="330" s="1"/>
  <c r="K204" i="330"/>
  <c r="H204" i="330"/>
  <c r="I204" i="330" s="1"/>
  <c r="J204" i="330" s="1"/>
  <c r="K203" i="330"/>
  <c r="H203" i="330"/>
  <c r="I203" i="330" s="1"/>
  <c r="J203" i="330" s="1"/>
  <c r="K202" i="330"/>
  <c r="H202" i="330"/>
  <c r="I202" i="330" s="1"/>
  <c r="J202" i="330" s="1"/>
  <c r="K201" i="330"/>
  <c r="H201" i="330"/>
  <c r="I201" i="330" s="1"/>
  <c r="J201" i="330" s="1"/>
  <c r="K200" i="330"/>
  <c r="H200" i="330"/>
  <c r="I200" i="330" s="1"/>
  <c r="J200" i="330" s="1"/>
  <c r="K199" i="330"/>
  <c r="H199" i="330"/>
  <c r="I199" i="330" s="1"/>
  <c r="J199" i="330" s="1"/>
  <c r="K196" i="330"/>
  <c r="H196" i="330"/>
  <c r="I196" i="330" s="1"/>
  <c r="J196" i="330" s="1"/>
  <c r="K195" i="330"/>
  <c r="H195" i="330"/>
  <c r="I195" i="330" s="1"/>
  <c r="J195" i="330" s="1"/>
  <c r="K194" i="330"/>
  <c r="H194" i="330"/>
  <c r="I194" i="330" s="1"/>
  <c r="J194" i="330" s="1"/>
  <c r="K193" i="330"/>
  <c r="H193" i="330"/>
  <c r="I193" i="330" s="1"/>
  <c r="J193" i="330" s="1"/>
  <c r="K192" i="330"/>
  <c r="H192" i="330"/>
  <c r="I192" i="330" s="1"/>
  <c r="J192" i="330" s="1"/>
  <c r="K191" i="330"/>
  <c r="H191" i="330"/>
  <c r="I191" i="330" s="1"/>
  <c r="J191" i="330" s="1"/>
  <c r="K190" i="330"/>
  <c r="H190" i="330"/>
  <c r="I190" i="330" s="1"/>
  <c r="J190" i="330" s="1"/>
  <c r="K188" i="330"/>
  <c r="H188" i="330"/>
  <c r="I188" i="330" s="1"/>
  <c r="J188" i="330" s="1"/>
  <c r="K187" i="330"/>
  <c r="H187" i="330"/>
  <c r="I187" i="330" s="1"/>
  <c r="J187" i="330" s="1"/>
  <c r="K185" i="330"/>
  <c r="H185" i="330"/>
  <c r="I185" i="330" s="1"/>
  <c r="J185" i="330" s="1"/>
  <c r="K184" i="330"/>
  <c r="H184" i="330"/>
  <c r="I184" i="330" s="1"/>
  <c r="J184" i="330" s="1"/>
  <c r="K183" i="330"/>
  <c r="H183" i="330"/>
  <c r="I183" i="330" s="1"/>
  <c r="J183" i="330" s="1"/>
  <c r="K182" i="330"/>
  <c r="H182" i="330"/>
  <c r="I182" i="330" s="1"/>
  <c r="J182" i="330" s="1"/>
  <c r="K181" i="330"/>
  <c r="H181" i="330"/>
  <c r="I181" i="330" s="1"/>
  <c r="J181" i="330" s="1"/>
  <c r="K180" i="330"/>
  <c r="H180" i="330"/>
  <c r="I180" i="330" s="1"/>
  <c r="J180" i="330" s="1"/>
  <c r="K178" i="330"/>
  <c r="H178" i="330"/>
  <c r="I178" i="330" s="1"/>
  <c r="J178" i="330" s="1"/>
  <c r="K177" i="330"/>
  <c r="H177" i="330"/>
  <c r="I177" i="330" s="1"/>
  <c r="J177" i="330" s="1"/>
  <c r="K176" i="330"/>
  <c r="H176" i="330"/>
  <c r="I176" i="330" s="1"/>
  <c r="J176" i="330" s="1"/>
  <c r="K175" i="330"/>
  <c r="H175" i="330"/>
  <c r="I175" i="330" s="1"/>
  <c r="J175" i="330" s="1"/>
  <c r="K174" i="330"/>
  <c r="H174" i="330"/>
  <c r="I174" i="330" s="1"/>
  <c r="J174" i="330" s="1"/>
  <c r="K172" i="330"/>
  <c r="H172" i="330"/>
  <c r="I172" i="330" s="1"/>
  <c r="J172" i="330" s="1"/>
  <c r="K171" i="330"/>
  <c r="H171" i="330"/>
  <c r="I171" i="330" s="1"/>
  <c r="J171" i="330" s="1"/>
  <c r="K170" i="330"/>
  <c r="H170" i="330"/>
  <c r="I170" i="330" s="1"/>
  <c r="J170" i="330" s="1"/>
  <c r="K169" i="330"/>
  <c r="H169" i="330"/>
  <c r="I169" i="330" s="1"/>
  <c r="J169" i="330" s="1"/>
  <c r="K168" i="330"/>
  <c r="H168" i="330"/>
  <c r="I168" i="330" s="1"/>
  <c r="J168" i="330" s="1"/>
  <c r="K167" i="330"/>
  <c r="H167" i="330"/>
  <c r="I167" i="330" s="1"/>
  <c r="J167" i="330" s="1"/>
  <c r="K166" i="330"/>
  <c r="H166" i="330"/>
  <c r="I166" i="330" s="1"/>
  <c r="J166" i="330" s="1"/>
  <c r="K165" i="330"/>
  <c r="H165" i="330"/>
  <c r="I165" i="330" s="1"/>
  <c r="J165" i="330" s="1"/>
  <c r="K164" i="330"/>
  <c r="H164" i="330"/>
  <c r="I164" i="330" s="1"/>
  <c r="J164" i="330" s="1"/>
  <c r="K163" i="330"/>
  <c r="H163" i="330"/>
  <c r="I163" i="330" s="1"/>
  <c r="J163" i="330" s="1"/>
  <c r="K162" i="330"/>
  <c r="H162" i="330"/>
  <c r="I162" i="330" s="1"/>
  <c r="J162" i="330" s="1"/>
  <c r="K161" i="330"/>
  <c r="H161" i="330"/>
  <c r="I161" i="330" s="1"/>
  <c r="J161" i="330" s="1"/>
  <c r="K160" i="330"/>
  <c r="H160" i="330"/>
  <c r="I160" i="330" s="1"/>
  <c r="J160" i="330" s="1"/>
  <c r="K159" i="330"/>
  <c r="H159" i="330"/>
  <c r="I159" i="330" s="1"/>
  <c r="J159" i="330" s="1"/>
  <c r="K158" i="330"/>
  <c r="H158" i="330"/>
  <c r="I158" i="330" s="1"/>
  <c r="J158" i="330" s="1"/>
  <c r="K157" i="330"/>
  <c r="H157" i="330"/>
  <c r="I157" i="330" s="1"/>
  <c r="J157" i="330" s="1"/>
  <c r="K156" i="330"/>
  <c r="H156" i="330"/>
  <c r="I156" i="330" s="1"/>
  <c r="J156" i="330" s="1"/>
  <c r="K155" i="330"/>
  <c r="H155" i="330"/>
  <c r="I155" i="330" s="1"/>
  <c r="J155" i="330" s="1"/>
  <c r="K154" i="330"/>
  <c r="H154" i="330"/>
  <c r="I154" i="330" s="1"/>
  <c r="J154" i="330" s="1"/>
  <c r="K153" i="330"/>
  <c r="H153" i="330"/>
  <c r="I153" i="330" s="1"/>
  <c r="J153" i="330" s="1"/>
  <c r="K152" i="330"/>
  <c r="H152" i="330"/>
  <c r="I152" i="330" s="1"/>
  <c r="J152" i="330" s="1"/>
  <c r="K149" i="330"/>
  <c r="K148" i="330" s="1"/>
  <c r="K32" i="241" s="1"/>
  <c r="H149" i="330"/>
  <c r="H148" i="330" s="1"/>
  <c r="K147" i="330"/>
  <c r="H147" i="330"/>
  <c r="I147" i="330" s="1"/>
  <c r="J147" i="330" s="1"/>
  <c r="K146" i="330"/>
  <c r="H146" i="330"/>
  <c r="I146" i="330" s="1"/>
  <c r="J146" i="330" s="1"/>
  <c r="K145" i="330"/>
  <c r="H145" i="330"/>
  <c r="I145" i="330" s="1"/>
  <c r="J145" i="330" s="1"/>
  <c r="K144" i="330"/>
  <c r="H144" i="330"/>
  <c r="I144" i="330" s="1"/>
  <c r="J144" i="330" s="1"/>
  <c r="K143" i="330"/>
  <c r="H143" i="330"/>
  <c r="I143" i="330" s="1"/>
  <c r="J143" i="330" s="1"/>
  <c r="K142" i="330"/>
  <c r="H142" i="330"/>
  <c r="I142" i="330" s="1"/>
  <c r="J142" i="330" s="1"/>
  <c r="K141" i="330"/>
  <c r="H141" i="330"/>
  <c r="I141" i="330" s="1"/>
  <c r="J141" i="330" s="1"/>
  <c r="K140" i="330"/>
  <c r="H140" i="330"/>
  <c r="I140" i="330" s="1"/>
  <c r="J140" i="330" s="1"/>
  <c r="K139" i="330"/>
  <c r="H139" i="330"/>
  <c r="I139" i="330" s="1"/>
  <c r="J139" i="330" s="1"/>
  <c r="K138" i="330"/>
  <c r="H138" i="330"/>
  <c r="I138" i="330" s="1"/>
  <c r="J138" i="330" s="1"/>
  <c r="K137" i="330"/>
  <c r="H137" i="330"/>
  <c r="I137" i="330" s="1"/>
  <c r="J137" i="330" s="1"/>
  <c r="K136" i="330"/>
  <c r="H136" i="330"/>
  <c r="I136" i="330" s="1"/>
  <c r="J136" i="330" s="1"/>
  <c r="K135" i="330"/>
  <c r="H135" i="330"/>
  <c r="I135" i="330" s="1"/>
  <c r="J135" i="330" s="1"/>
  <c r="K134" i="330"/>
  <c r="H134" i="330"/>
  <c r="I134" i="330" s="1"/>
  <c r="J134" i="330" s="1"/>
  <c r="K132" i="330"/>
  <c r="H132" i="330"/>
  <c r="I132" i="330" s="1"/>
  <c r="J132" i="330" s="1"/>
  <c r="K131" i="330"/>
  <c r="H131" i="330"/>
  <c r="I131" i="330" s="1"/>
  <c r="J131" i="330" s="1"/>
  <c r="K125" i="330"/>
  <c r="H125" i="330"/>
  <c r="I125" i="330" s="1"/>
  <c r="J125" i="330" s="1"/>
  <c r="K124" i="330"/>
  <c r="H124" i="330"/>
  <c r="I124" i="330" s="1"/>
  <c r="J124" i="330" s="1"/>
  <c r="K123" i="330"/>
  <c r="H123" i="330"/>
  <c r="I123" i="330" s="1"/>
  <c r="J123" i="330" s="1"/>
  <c r="K122" i="330"/>
  <c r="H122" i="330"/>
  <c r="I122" i="330" s="1"/>
  <c r="J122" i="330" s="1"/>
  <c r="K121" i="330"/>
  <c r="H121" i="330"/>
  <c r="I121" i="330" s="1"/>
  <c r="J121" i="330" s="1"/>
  <c r="K120" i="330"/>
  <c r="H120" i="330"/>
  <c r="I120" i="330" s="1"/>
  <c r="J120" i="330" s="1"/>
  <c r="K118" i="330"/>
  <c r="H118" i="330"/>
  <c r="I118" i="330" s="1"/>
  <c r="J118" i="330" s="1"/>
  <c r="K117" i="330"/>
  <c r="H117" i="330"/>
  <c r="I117" i="330" s="1"/>
  <c r="J117" i="330" s="1"/>
  <c r="K116" i="330"/>
  <c r="H116" i="330"/>
  <c r="I116" i="330" s="1"/>
  <c r="J116" i="330" s="1"/>
  <c r="K115" i="330"/>
  <c r="H115" i="330"/>
  <c r="K113" i="330"/>
  <c r="H113" i="330"/>
  <c r="I113" i="330" s="1"/>
  <c r="J113" i="330" s="1"/>
  <c r="K112" i="330"/>
  <c r="H112" i="330"/>
  <c r="I112" i="330" s="1"/>
  <c r="J112" i="330" s="1"/>
  <c r="K111" i="330"/>
  <c r="H111" i="330"/>
  <c r="I111" i="330" s="1"/>
  <c r="J111" i="330" s="1"/>
  <c r="K110" i="330"/>
  <c r="H110" i="330"/>
  <c r="I110" i="330" s="1"/>
  <c r="J110" i="330" s="1"/>
  <c r="K108" i="330"/>
  <c r="H108" i="330"/>
  <c r="I108" i="330" s="1"/>
  <c r="J108" i="330" s="1"/>
  <c r="K107" i="330"/>
  <c r="H107" i="330"/>
  <c r="I107" i="330" s="1"/>
  <c r="J107" i="330" s="1"/>
  <c r="K106" i="330"/>
  <c r="H106" i="330"/>
  <c r="I106" i="330" s="1"/>
  <c r="J106" i="330" s="1"/>
  <c r="K104" i="330"/>
  <c r="H104" i="330"/>
  <c r="I104" i="330" s="1"/>
  <c r="J104" i="330" s="1"/>
  <c r="K103" i="330"/>
  <c r="H103" i="330"/>
  <c r="I103" i="330" s="1"/>
  <c r="J103" i="330" s="1"/>
  <c r="K102" i="330"/>
  <c r="H102" i="330"/>
  <c r="I102" i="330" s="1"/>
  <c r="J102" i="330" s="1"/>
  <c r="K99" i="330"/>
  <c r="H99" i="330"/>
  <c r="I99" i="330" s="1"/>
  <c r="J99" i="330" s="1"/>
  <c r="K98" i="330"/>
  <c r="H98" i="330"/>
  <c r="I98" i="330" s="1"/>
  <c r="J98" i="330" s="1"/>
  <c r="K97" i="330"/>
  <c r="H97" i="330"/>
  <c r="I97" i="330" s="1"/>
  <c r="J97" i="330" s="1"/>
  <c r="K96" i="330"/>
  <c r="H96" i="330"/>
  <c r="I96" i="330" s="1"/>
  <c r="J96" i="330" s="1"/>
  <c r="K95" i="330"/>
  <c r="H95" i="330"/>
  <c r="I95" i="330" s="1"/>
  <c r="J95" i="330" s="1"/>
  <c r="K94" i="330"/>
  <c r="H94" i="330"/>
  <c r="I94" i="330" s="1"/>
  <c r="J94" i="330" s="1"/>
  <c r="K92" i="330"/>
  <c r="H92" i="330"/>
  <c r="I92" i="330" s="1"/>
  <c r="J92" i="330" s="1"/>
  <c r="K91" i="330"/>
  <c r="H91" i="330"/>
  <c r="I91" i="330" s="1"/>
  <c r="J91" i="330" s="1"/>
  <c r="K90" i="330"/>
  <c r="H90" i="330"/>
  <c r="I90" i="330" s="1"/>
  <c r="J90" i="330" s="1"/>
  <c r="K89" i="330"/>
  <c r="H89" i="330"/>
  <c r="I89" i="330" s="1"/>
  <c r="J89" i="330" s="1"/>
  <c r="K88" i="330"/>
  <c r="H88" i="330"/>
  <c r="I88" i="330" s="1"/>
  <c r="J88" i="330" s="1"/>
  <c r="K87" i="330"/>
  <c r="H87" i="330"/>
  <c r="I87" i="330" s="1"/>
  <c r="J87" i="330" s="1"/>
  <c r="K85" i="330"/>
  <c r="H85" i="330"/>
  <c r="I85" i="330" s="1"/>
  <c r="J85" i="330" s="1"/>
  <c r="K84" i="330"/>
  <c r="H84" i="330"/>
  <c r="I84" i="330" s="1"/>
  <c r="J84" i="330" s="1"/>
  <c r="K83" i="330"/>
  <c r="H83" i="330"/>
  <c r="I83" i="330" s="1"/>
  <c r="J83" i="330" s="1"/>
  <c r="K82" i="330"/>
  <c r="H82" i="330"/>
  <c r="I82" i="330" s="1"/>
  <c r="J82" i="330" s="1"/>
  <c r="K81" i="330"/>
  <c r="H81" i="330"/>
  <c r="I81" i="330" s="1"/>
  <c r="J81" i="330" s="1"/>
  <c r="K80" i="330"/>
  <c r="H80" i="330"/>
  <c r="I80" i="330" s="1"/>
  <c r="J80" i="330" s="1"/>
  <c r="K79" i="330"/>
  <c r="H79" i="330"/>
  <c r="I79" i="330" s="1"/>
  <c r="J79" i="330" s="1"/>
  <c r="K78" i="330"/>
  <c r="H78" i="330"/>
  <c r="I78" i="330" s="1"/>
  <c r="J78" i="330" s="1"/>
  <c r="K77" i="330"/>
  <c r="H77" i="330"/>
  <c r="I77" i="330" s="1"/>
  <c r="J77" i="330" s="1"/>
  <c r="K76" i="330"/>
  <c r="H76" i="330"/>
  <c r="I76" i="330" s="1"/>
  <c r="J76" i="330" s="1"/>
  <c r="K73" i="330"/>
  <c r="H73" i="330"/>
  <c r="I73" i="330" s="1"/>
  <c r="J73" i="330" s="1"/>
  <c r="K72" i="330"/>
  <c r="H72" i="330"/>
  <c r="I72" i="330" s="1"/>
  <c r="J72" i="330" s="1"/>
  <c r="K71" i="330"/>
  <c r="H71" i="330"/>
  <c r="I71" i="330" s="1"/>
  <c r="J71" i="330" s="1"/>
  <c r="K70" i="330"/>
  <c r="H70" i="330"/>
  <c r="I70" i="330" s="1"/>
  <c r="J70" i="330" s="1"/>
  <c r="K69" i="330"/>
  <c r="H69" i="330"/>
  <c r="I69" i="330" s="1"/>
  <c r="J69" i="330" s="1"/>
  <c r="K68" i="330"/>
  <c r="H68" i="330"/>
  <c r="K67" i="330"/>
  <c r="H67" i="330"/>
  <c r="I67" i="330" s="1"/>
  <c r="J67" i="330" s="1"/>
  <c r="K65" i="330"/>
  <c r="H65" i="330"/>
  <c r="K64" i="330"/>
  <c r="H64" i="330"/>
  <c r="I64" i="330" s="1"/>
  <c r="J64" i="330" s="1"/>
  <c r="K62" i="330"/>
  <c r="H62" i="330"/>
  <c r="I62" i="330" s="1"/>
  <c r="J62" i="330" s="1"/>
  <c r="K61" i="330"/>
  <c r="H61" i="330"/>
  <c r="I61" i="330" s="1"/>
  <c r="J61" i="330" s="1"/>
  <c r="K60" i="330"/>
  <c r="H60" i="330"/>
  <c r="I60" i="330" s="1"/>
  <c r="J60" i="330" s="1"/>
  <c r="K59" i="330"/>
  <c r="H59" i="330"/>
  <c r="I59" i="330" s="1"/>
  <c r="J59" i="330" s="1"/>
  <c r="K58" i="330"/>
  <c r="H58" i="330"/>
  <c r="I58" i="330" s="1"/>
  <c r="J58" i="330" s="1"/>
  <c r="K57" i="330"/>
  <c r="H57" i="330"/>
  <c r="I57" i="330" s="1"/>
  <c r="J57" i="330" s="1"/>
  <c r="K55" i="330"/>
  <c r="H55" i="330"/>
  <c r="I55" i="330" s="1"/>
  <c r="J55" i="330" s="1"/>
  <c r="K54" i="330"/>
  <c r="H54" i="330"/>
  <c r="I54" i="330" s="1"/>
  <c r="J54" i="330" s="1"/>
  <c r="K53" i="330"/>
  <c r="H53" i="330"/>
  <c r="I53" i="330" s="1"/>
  <c r="J53" i="330" s="1"/>
  <c r="K52" i="330"/>
  <c r="H52" i="330"/>
  <c r="I52" i="330" s="1"/>
  <c r="J52" i="330" s="1"/>
  <c r="K51" i="330"/>
  <c r="H51" i="330"/>
  <c r="I51" i="330" s="1"/>
  <c r="J51" i="330" s="1"/>
  <c r="K49" i="330"/>
  <c r="H49" i="330"/>
  <c r="I49" i="330" s="1"/>
  <c r="J49" i="330" s="1"/>
  <c r="K48" i="330"/>
  <c r="H48" i="330"/>
  <c r="I48" i="330" s="1"/>
  <c r="J48" i="330" s="1"/>
  <c r="K47" i="330"/>
  <c r="H47" i="330"/>
  <c r="I47" i="330" s="1"/>
  <c r="J47" i="330" s="1"/>
  <c r="K46" i="330"/>
  <c r="H46" i="330"/>
  <c r="I46" i="330" s="1"/>
  <c r="J46" i="330" s="1"/>
  <c r="K45" i="330"/>
  <c r="H45" i="330"/>
  <c r="I45" i="330" s="1"/>
  <c r="J45" i="330" s="1"/>
  <c r="K44" i="330"/>
  <c r="H44" i="330"/>
  <c r="I44" i="330" s="1"/>
  <c r="J44" i="330" s="1"/>
  <c r="K43" i="330"/>
  <c r="H43" i="330"/>
  <c r="I43" i="330" s="1"/>
  <c r="J43" i="330" s="1"/>
  <c r="K42" i="330"/>
  <c r="H42" i="330"/>
  <c r="I42" i="330" s="1"/>
  <c r="J42" i="330" s="1"/>
  <c r="K41" i="330"/>
  <c r="H41" i="330"/>
  <c r="I41" i="330" s="1"/>
  <c r="J41" i="330" s="1"/>
  <c r="K40" i="330"/>
  <c r="H40" i="330"/>
  <c r="I40" i="330" s="1"/>
  <c r="J40" i="330" s="1"/>
  <c r="K39" i="330"/>
  <c r="H39" i="330"/>
  <c r="I39" i="330" s="1"/>
  <c r="J39" i="330" s="1"/>
  <c r="K38" i="330"/>
  <c r="H38" i="330"/>
  <c r="I38" i="330" s="1"/>
  <c r="J38" i="330" s="1"/>
  <c r="K37" i="330"/>
  <c r="H37" i="330"/>
  <c r="I37" i="330" s="1"/>
  <c r="J37" i="330" s="1"/>
  <c r="K36" i="330"/>
  <c r="H36" i="330"/>
  <c r="I36" i="330" s="1"/>
  <c r="J36" i="330" s="1"/>
  <c r="K35" i="330"/>
  <c r="H35" i="330"/>
  <c r="I35" i="330" s="1"/>
  <c r="J35" i="330" s="1"/>
  <c r="K34" i="330"/>
  <c r="H34" i="330"/>
  <c r="I34" i="330" s="1"/>
  <c r="J34" i="330" s="1"/>
  <c r="K33" i="330"/>
  <c r="H33" i="330"/>
  <c r="I33" i="330" s="1"/>
  <c r="J33" i="330" s="1"/>
  <c r="K32" i="330"/>
  <c r="H32" i="330"/>
  <c r="I32" i="330" s="1"/>
  <c r="J32" i="330" s="1"/>
  <c r="K31" i="330"/>
  <c r="H31" i="330"/>
  <c r="I31" i="330" s="1"/>
  <c r="J31" i="330" s="1"/>
  <c r="K30" i="330"/>
  <c r="H30" i="330"/>
  <c r="I30" i="330" s="1"/>
  <c r="J30" i="330" s="1"/>
  <c r="K29" i="330"/>
  <c r="H29" i="330"/>
  <c r="I29" i="330" s="1"/>
  <c r="J29" i="330" s="1"/>
  <c r="K26" i="330"/>
  <c r="K25" i="330" s="1"/>
  <c r="K9" i="241" s="1"/>
  <c r="H26" i="330"/>
  <c r="I26" i="330" s="1"/>
  <c r="J26" i="330" s="1"/>
  <c r="K24" i="330"/>
  <c r="H24" i="330"/>
  <c r="I24" i="330" s="1"/>
  <c r="J24" i="330" s="1"/>
  <c r="K23" i="330"/>
  <c r="H23" i="330"/>
  <c r="I23" i="330" s="1"/>
  <c r="J23" i="330" s="1"/>
  <c r="K22" i="330"/>
  <c r="H22" i="330"/>
  <c r="I22" i="330" s="1"/>
  <c r="J22" i="330" s="1"/>
  <c r="K21" i="330"/>
  <c r="H21" i="330"/>
  <c r="I21" i="330" s="1"/>
  <c r="J21" i="330" s="1"/>
  <c r="K20" i="330"/>
  <c r="H20" i="330"/>
  <c r="I20" i="330" s="1"/>
  <c r="J20" i="330" s="1"/>
  <c r="K19" i="330"/>
  <c r="H19" i="330"/>
  <c r="I19" i="330" s="1"/>
  <c r="J19" i="330" s="1"/>
  <c r="K18" i="330"/>
  <c r="H18" i="330"/>
  <c r="I18" i="330" s="1"/>
  <c r="J18" i="330" s="1"/>
  <c r="K17" i="330"/>
  <c r="H17" i="330"/>
  <c r="I17" i="330" s="1"/>
  <c r="J17" i="330" s="1"/>
  <c r="K16" i="330"/>
  <c r="H16" i="330"/>
  <c r="I16" i="330" s="1"/>
  <c r="J16" i="330" s="1"/>
  <c r="K15" i="330"/>
  <c r="H15" i="330"/>
  <c r="I15" i="330" s="1"/>
  <c r="J15" i="330" s="1"/>
  <c r="K14" i="330"/>
  <c r="H14" i="330"/>
  <c r="I14" i="330" s="1"/>
  <c r="J14" i="330" s="1"/>
  <c r="K13" i="330"/>
  <c r="H13" i="330"/>
  <c r="K12" i="330"/>
  <c r="H12" i="330"/>
  <c r="I12" i="330" s="1"/>
  <c r="J12" i="330" s="1"/>
  <c r="K11" i="330"/>
  <c r="H11" i="330"/>
  <c r="I11" i="330" s="1"/>
  <c r="J11" i="330" s="1"/>
  <c r="K9" i="330"/>
  <c r="H9" i="330"/>
  <c r="I9" i="330" s="1"/>
  <c r="J9" i="330" s="1"/>
  <c r="K8" i="330"/>
  <c r="H8" i="330"/>
  <c r="I8" i="330" s="1"/>
  <c r="J8" i="330" s="1"/>
  <c r="B23" i="251"/>
  <c r="B15" i="251"/>
  <c r="B5" i="251"/>
  <c r="G53" i="333"/>
  <c r="F53" i="333"/>
  <c r="G8" i="333"/>
  <c r="F8" i="333"/>
  <c r="G53" i="325"/>
  <c r="F53" i="325"/>
  <c r="G8" i="325"/>
  <c r="F8" i="325"/>
  <c r="G53" i="326"/>
  <c r="F53" i="326"/>
  <c r="G8" i="326"/>
  <c r="F8" i="326"/>
  <c r="A182" i="330"/>
  <c r="E100" i="100"/>
  <c r="F100" i="100"/>
  <c r="J167" i="335"/>
  <c r="I166" i="335"/>
  <c r="J166" i="335" s="1"/>
  <c r="I163" i="335"/>
  <c r="J163" i="335" s="1"/>
  <c r="I160" i="335"/>
  <c r="J160" i="335" s="1"/>
  <c r="I157" i="335"/>
  <c r="J157" i="335" s="1"/>
  <c r="J155" i="335"/>
  <c r="I154" i="335"/>
  <c r="J154" i="335" s="1"/>
  <c r="I151" i="335"/>
  <c r="J151" i="335" s="1"/>
  <c r="I148" i="335"/>
  <c r="J148" i="335" s="1"/>
  <c r="I147" i="335"/>
  <c r="J147" i="335" s="1"/>
  <c r="I146" i="335"/>
  <c r="J146" i="335" s="1"/>
  <c r="I145" i="335"/>
  <c r="J145" i="335" s="1"/>
  <c r="I144" i="335"/>
  <c r="J144" i="335" s="1"/>
  <c r="I143" i="335"/>
  <c r="J143" i="335" s="1"/>
  <c r="I141" i="335"/>
  <c r="J141" i="335" s="1"/>
  <c r="J139" i="335"/>
  <c r="I138" i="335"/>
  <c r="J138" i="335" s="1"/>
  <c r="J136" i="335"/>
  <c r="I135" i="335"/>
  <c r="J135" i="335" s="1"/>
  <c r="I134" i="335"/>
  <c r="J134" i="335" s="1"/>
  <c r="I133" i="335"/>
  <c r="J133" i="335" s="1"/>
  <c r="I131" i="335"/>
  <c r="J131" i="335" s="1"/>
  <c r="I130" i="335"/>
  <c r="J130" i="335" s="1"/>
  <c r="I129" i="335"/>
  <c r="J129" i="335" s="1"/>
  <c r="I128" i="335"/>
  <c r="J128" i="335" s="1"/>
  <c r="I127" i="335"/>
  <c r="J127" i="335" s="1"/>
  <c r="I126" i="335"/>
  <c r="J126" i="335" s="1"/>
  <c r="I125" i="335"/>
  <c r="J125" i="335" s="1"/>
  <c r="I124" i="335"/>
  <c r="J124" i="335" s="1"/>
  <c r="I123" i="335"/>
  <c r="J123" i="335" s="1"/>
  <c r="I122" i="335"/>
  <c r="J122" i="335" s="1"/>
  <c r="I121" i="335"/>
  <c r="J121" i="335" s="1"/>
  <c r="I117" i="335"/>
  <c r="J117" i="335" s="1"/>
  <c r="I116" i="335"/>
  <c r="J116" i="335" s="1"/>
  <c r="I114" i="335"/>
  <c r="J114" i="335" s="1"/>
  <c r="I113" i="335"/>
  <c r="J113" i="335" s="1"/>
  <c r="I110" i="335"/>
  <c r="J110" i="335" s="1"/>
  <c r="I109" i="335"/>
  <c r="J109" i="335" s="1"/>
  <c r="I108" i="335"/>
  <c r="J108" i="335" s="1"/>
  <c r="I107" i="335"/>
  <c r="J107" i="335" s="1"/>
  <c r="I106" i="335"/>
  <c r="J106" i="335" s="1"/>
  <c r="I105" i="335"/>
  <c r="J105" i="335" s="1"/>
  <c r="I102" i="335"/>
  <c r="J102" i="335" s="1"/>
  <c r="I101" i="335"/>
  <c r="J101" i="335" s="1"/>
  <c r="I100" i="335"/>
  <c r="J100" i="335" s="1"/>
  <c r="I98" i="335"/>
  <c r="J98" i="335" s="1"/>
  <c r="I97" i="335"/>
  <c r="J97" i="335" s="1"/>
  <c r="I96" i="335"/>
  <c r="J96" i="335" s="1"/>
  <c r="I95" i="335"/>
  <c r="J95" i="335" s="1"/>
  <c r="I94" i="335"/>
  <c r="J94" i="335" s="1"/>
  <c r="I93" i="335"/>
  <c r="J93" i="335" s="1"/>
  <c r="I92" i="335"/>
  <c r="J92" i="335" s="1"/>
  <c r="I91" i="335"/>
  <c r="J91" i="335" s="1"/>
  <c r="I90" i="335"/>
  <c r="J90" i="335" s="1"/>
  <c r="I89" i="335"/>
  <c r="J89" i="335" s="1"/>
  <c r="I88" i="335"/>
  <c r="J88" i="335" s="1"/>
  <c r="I87" i="335"/>
  <c r="J87" i="335" s="1"/>
  <c r="I86" i="335"/>
  <c r="J86" i="335" s="1"/>
  <c r="I85" i="335"/>
  <c r="J85" i="335" s="1"/>
  <c r="I84" i="335"/>
  <c r="J84" i="335" s="1"/>
  <c r="I83" i="335"/>
  <c r="J83" i="335" s="1"/>
  <c r="I82" i="335"/>
  <c r="J82" i="335" s="1"/>
  <c r="I81" i="335"/>
  <c r="J81" i="335" s="1"/>
  <c r="I80" i="335"/>
  <c r="J80" i="335" s="1"/>
  <c r="I79" i="335"/>
  <c r="J79" i="335" s="1"/>
  <c r="I78" i="335"/>
  <c r="J78" i="335" s="1"/>
  <c r="I77" i="335"/>
  <c r="J77" i="335" s="1"/>
  <c r="J74" i="335"/>
  <c r="I73" i="335"/>
  <c r="J73" i="335" s="1"/>
  <c r="I72" i="335"/>
  <c r="J72" i="335" s="1"/>
  <c r="I71" i="335"/>
  <c r="J71" i="335" s="1"/>
  <c r="I70" i="335"/>
  <c r="J70" i="335" s="1"/>
  <c r="I68" i="335"/>
  <c r="J68" i="335" s="1"/>
  <c r="I67" i="335"/>
  <c r="J67" i="335" s="1"/>
  <c r="I66" i="335"/>
  <c r="J66" i="335" s="1"/>
  <c r="I65" i="335"/>
  <c r="J65" i="335" s="1"/>
  <c r="I64" i="335"/>
  <c r="J64" i="335" s="1"/>
  <c r="I62" i="335"/>
  <c r="J62" i="335" s="1"/>
  <c r="I61" i="335"/>
  <c r="J61" i="335" s="1"/>
  <c r="I60" i="335"/>
  <c r="J60" i="335" s="1"/>
  <c r="I59" i="335"/>
  <c r="J59" i="335" s="1"/>
  <c r="I58" i="335"/>
  <c r="J58" i="335" s="1"/>
  <c r="I57" i="335"/>
  <c r="J57" i="335" s="1"/>
  <c r="I56" i="335"/>
  <c r="J56" i="335" s="1"/>
  <c r="I55" i="335"/>
  <c r="J55" i="335" s="1"/>
  <c r="I54" i="335"/>
  <c r="J54" i="335" s="1"/>
  <c r="I52" i="335"/>
  <c r="J52" i="335" s="1"/>
  <c r="I51" i="335"/>
  <c r="J51" i="335" s="1"/>
  <c r="I50" i="335"/>
  <c r="J50" i="335" s="1"/>
  <c r="I49" i="335"/>
  <c r="J49" i="335" s="1"/>
  <c r="I48" i="335"/>
  <c r="J48" i="335" s="1"/>
  <c r="I47" i="335"/>
  <c r="J47" i="335" s="1"/>
  <c r="I46" i="335"/>
  <c r="J46" i="335" s="1"/>
  <c r="I44" i="335"/>
  <c r="J44" i="335" s="1"/>
  <c r="I43" i="335"/>
  <c r="J43" i="335" s="1"/>
  <c r="I42" i="335"/>
  <c r="J42" i="335" s="1"/>
  <c r="I41" i="335"/>
  <c r="J41" i="335" s="1"/>
  <c r="I40" i="335"/>
  <c r="J40" i="335" s="1"/>
  <c r="I39" i="335"/>
  <c r="J39" i="335" s="1"/>
  <c r="I37" i="335"/>
  <c r="J37" i="335" s="1"/>
  <c r="I36" i="335"/>
  <c r="J36" i="335" s="1"/>
  <c r="I35" i="335"/>
  <c r="J35" i="335" s="1"/>
  <c r="I34" i="335"/>
  <c r="J34" i="335" s="1"/>
  <c r="I33" i="335"/>
  <c r="J33" i="335" s="1"/>
  <c r="I32" i="335"/>
  <c r="J32" i="335" s="1"/>
  <c r="I31" i="335"/>
  <c r="J31" i="335" s="1"/>
  <c r="I30" i="335"/>
  <c r="J30" i="335" s="1"/>
  <c r="I29" i="335"/>
  <c r="J29" i="335" s="1"/>
  <c r="I28" i="335"/>
  <c r="J28" i="335" s="1"/>
  <c r="I26" i="335"/>
  <c r="J26" i="335" s="1"/>
  <c r="I25" i="335"/>
  <c r="J25" i="335" s="1"/>
  <c r="I24" i="335"/>
  <c r="J24" i="335" s="1"/>
  <c r="I23" i="335"/>
  <c r="J23" i="335" s="1"/>
  <c r="I22" i="335"/>
  <c r="J22" i="335" s="1"/>
  <c r="I21" i="335"/>
  <c r="J21" i="335" s="1"/>
  <c r="I20" i="335"/>
  <c r="J20" i="335" s="1"/>
  <c r="I19" i="335"/>
  <c r="J19" i="335" s="1"/>
  <c r="I18" i="335"/>
  <c r="J18" i="335" s="1"/>
  <c r="I16" i="335"/>
  <c r="J16" i="335" s="1"/>
  <c r="I15" i="335"/>
  <c r="J15" i="335" s="1"/>
  <c r="I14" i="335"/>
  <c r="J14" i="335" s="1"/>
  <c r="I12" i="335"/>
  <c r="J12" i="335" s="1"/>
  <c r="I11" i="335"/>
  <c r="J11" i="335" s="1"/>
  <c r="I10" i="335"/>
  <c r="J10" i="335" s="1"/>
  <c r="I9" i="335"/>
  <c r="J9" i="335" s="1"/>
  <c r="K3" i="335"/>
  <c r="J3" i="335"/>
  <c r="I3" i="335"/>
  <c r="H3" i="335"/>
  <c r="G3" i="335"/>
  <c r="F3" i="335"/>
  <c r="E3" i="335"/>
  <c r="D3" i="335"/>
  <c r="C3" i="335"/>
  <c r="B2" i="335"/>
  <c r="A2" i="335"/>
  <c r="J167" i="333"/>
  <c r="G165" i="333"/>
  <c r="F165" i="333"/>
  <c r="C165" i="333"/>
  <c r="G162" i="333"/>
  <c r="F162" i="333"/>
  <c r="C162" i="333"/>
  <c r="G159" i="333"/>
  <c r="F159" i="333"/>
  <c r="C159" i="333"/>
  <c r="G156" i="333"/>
  <c r="F156" i="333"/>
  <c r="C156" i="333"/>
  <c r="J155" i="333"/>
  <c r="G153" i="333"/>
  <c r="F153" i="333"/>
  <c r="C153" i="333"/>
  <c r="G150" i="333"/>
  <c r="F150" i="333"/>
  <c r="C150" i="333"/>
  <c r="G142" i="333"/>
  <c r="G140" i="333" s="1"/>
  <c r="F142" i="333"/>
  <c r="F140" i="333" s="1"/>
  <c r="C142" i="333"/>
  <c r="C140" i="333" s="1"/>
  <c r="J139" i="333"/>
  <c r="G137" i="333"/>
  <c r="F137" i="333"/>
  <c r="C137" i="333"/>
  <c r="J136" i="333"/>
  <c r="G132" i="333"/>
  <c r="F132" i="333"/>
  <c r="C132" i="333"/>
  <c r="C119" i="333" s="1"/>
  <c r="G120" i="333"/>
  <c r="F120" i="333"/>
  <c r="C120" i="333"/>
  <c r="G115" i="333"/>
  <c r="F115" i="333"/>
  <c r="C115" i="333"/>
  <c r="G112" i="333"/>
  <c r="F112" i="333"/>
  <c r="C112" i="333"/>
  <c r="I110" i="333"/>
  <c r="J110" i="333" s="1"/>
  <c r="G104" i="333"/>
  <c r="F104" i="333"/>
  <c r="C104" i="333"/>
  <c r="G99" i="333"/>
  <c r="F99" i="333"/>
  <c r="C99" i="333"/>
  <c r="G76" i="333"/>
  <c r="F76" i="333"/>
  <c r="C76" i="333"/>
  <c r="J74" i="333"/>
  <c r="G69" i="333"/>
  <c r="F69" i="333"/>
  <c r="C69" i="333"/>
  <c r="G63" i="333"/>
  <c r="F63" i="333"/>
  <c r="C63" i="333"/>
  <c r="C53" i="333"/>
  <c r="G45" i="333"/>
  <c r="F45" i="333"/>
  <c r="C45" i="333"/>
  <c r="G38" i="333"/>
  <c r="F38" i="333"/>
  <c r="C38" i="333"/>
  <c r="G27" i="333"/>
  <c r="F27" i="333"/>
  <c r="C27" i="333"/>
  <c r="G17" i="333"/>
  <c r="F17" i="333"/>
  <c r="C17" i="333"/>
  <c r="G13" i="333"/>
  <c r="F13" i="333"/>
  <c r="C13" i="333"/>
  <c r="C8" i="333"/>
  <c r="J167" i="325"/>
  <c r="G165" i="325"/>
  <c r="F165" i="325"/>
  <c r="C165" i="325"/>
  <c r="G162" i="325"/>
  <c r="F162" i="325"/>
  <c r="C162" i="325"/>
  <c r="G159" i="325"/>
  <c r="F159" i="325"/>
  <c r="C159" i="325"/>
  <c r="G156" i="325"/>
  <c r="F156" i="325"/>
  <c r="C156" i="325"/>
  <c r="J155" i="325"/>
  <c r="G153" i="325"/>
  <c r="F153" i="325"/>
  <c r="C153" i="325"/>
  <c r="H150" i="325"/>
  <c r="G150" i="325"/>
  <c r="F150" i="325"/>
  <c r="C150" i="325"/>
  <c r="G142" i="325"/>
  <c r="G140" i="325" s="1"/>
  <c r="F142" i="325"/>
  <c r="F140" i="325" s="1"/>
  <c r="C142" i="325"/>
  <c r="C140" i="325" s="1"/>
  <c r="J139" i="325"/>
  <c r="G137" i="325"/>
  <c r="F137" i="325"/>
  <c r="C137" i="325"/>
  <c r="J136" i="325"/>
  <c r="G132" i="325"/>
  <c r="F132" i="325"/>
  <c r="C132" i="325"/>
  <c r="G120" i="325"/>
  <c r="F120" i="325"/>
  <c r="C120" i="325"/>
  <c r="G115" i="325"/>
  <c r="F115" i="325"/>
  <c r="C115" i="325"/>
  <c r="G112" i="325"/>
  <c r="F112" i="325"/>
  <c r="C112" i="325"/>
  <c r="I110" i="325"/>
  <c r="J110" i="325" s="1"/>
  <c r="G104" i="325"/>
  <c r="F104" i="325"/>
  <c r="C104" i="325"/>
  <c r="G99" i="325"/>
  <c r="F99" i="325"/>
  <c r="C99" i="325"/>
  <c r="G76" i="325"/>
  <c r="F76" i="325"/>
  <c r="C76" i="325"/>
  <c r="J74" i="325"/>
  <c r="G69" i="325"/>
  <c r="F69" i="325"/>
  <c r="C69" i="325"/>
  <c r="G63" i="325"/>
  <c r="F63" i="325"/>
  <c r="C63" i="325"/>
  <c r="C53" i="325"/>
  <c r="G45" i="325"/>
  <c r="F45" i="325"/>
  <c r="C45" i="325"/>
  <c r="G38" i="325"/>
  <c r="F38" i="325"/>
  <c r="C38" i="325"/>
  <c r="G27" i="325"/>
  <c r="F27" i="325"/>
  <c r="C27" i="325"/>
  <c r="G17" i="325"/>
  <c r="F17" i="325"/>
  <c r="C17" i="325"/>
  <c r="G13" i="325"/>
  <c r="F13" i="325"/>
  <c r="C13" i="325"/>
  <c r="C8" i="325"/>
  <c r="J167" i="326"/>
  <c r="I166" i="326"/>
  <c r="J166" i="326" s="1"/>
  <c r="G165" i="326"/>
  <c r="F165" i="326"/>
  <c r="I163" i="326"/>
  <c r="J163" i="326" s="1"/>
  <c r="G162" i="326"/>
  <c r="I162" i="326" s="1"/>
  <c r="J162" i="326" s="1"/>
  <c r="F162" i="326"/>
  <c r="I160" i="326"/>
  <c r="J160" i="326" s="1"/>
  <c r="G159" i="326"/>
  <c r="F159" i="326"/>
  <c r="I157" i="326"/>
  <c r="J157" i="326" s="1"/>
  <c r="G156" i="326"/>
  <c r="F156" i="326"/>
  <c r="J155" i="326"/>
  <c r="I154" i="326"/>
  <c r="J154" i="326" s="1"/>
  <c r="G153" i="326"/>
  <c r="F153" i="326"/>
  <c r="I151" i="326"/>
  <c r="J151" i="326" s="1"/>
  <c r="G150" i="326"/>
  <c r="F150" i="326"/>
  <c r="I148" i="326"/>
  <c r="J148" i="326" s="1"/>
  <c r="I147" i="326"/>
  <c r="J147" i="326" s="1"/>
  <c r="I146" i="326"/>
  <c r="J146" i="326" s="1"/>
  <c r="I145" i="326"/>
  <c r="J145" i="326" s="1"/>
  <c r="I144" i="326"/>
  <c r="J144" i="326" s="1"/>
  <c r="I143" i="326"/>
  <c r="J143" i="326" s="1"/>
  <c r="G142" i="326"/>
  <c r="F142" i="326"/>
  <c r="F140" i="326" s="1"/>
  <c r="I141" i="326"/>
  <c r="J141" i="326" s="1"/>
  <c r="J139" i="326"/>
  <c r="I138" i="326"/>
  <c r="J138" i="326" s="1"/>
  <c r="G137" i="326"/>
  <c r="F137" i="326"/>
  <c r="J136" i="326"/>
  <c r="I135" i="326"/>
  <c r="J135" i="326" s="1"/>
  <c r="I134" i="326"/>
  <c r="J134" i="326" s="1"/>
  <c r="I133" i="326"/>
  <c r="J133" i="326" s="1"/>
  <c r="G132" i="326"/>
  <c r="F132" i="326"/>
  <c r="I131" i="326"/>
  <c r="J131" i="326" s="1"/>
  <c r="I130" i="326"/>
  <c r="J130" i="326" s="1"/>
  <c r="I129" i="326"/>
  <c r="J129" i="326" s="1"/>
  <c r="I128" i="326"/>
  <c r="J128" i="326" s="1"/>
  <c r="I127" i="326"/>
  <c r="J127" i="326" s="1"/>
  <c r="I126" i="326"/>
  <c r="J126" i="326" s="1"/>
  <c r="I125" i="326"/>
  <c r="J125" i="326" s="1"/>
  <c r="I124" i="326"/>
  <c r="J124" i="326" s="1"/>
  <c r="I123" i="326"/>
  <c r="J123" i="326" s="1"/>
  <c r="I122" i="326"/>
  <c r="J122" i="326" s="1"/>
  <c r="I121" i="326"/>
  <c r="J121" i="326" s="1"/>
  <c r="G120" i="326"/>
  <c r="F120" i="326"/>
  <c r="I117" i="326"/>
  <c r="J117" i="326" s="1"/>
  <c r="I116" i="326"/>
  <c r="J116" i="326" s="1"/>
  <c r="G115" i="326"/>
  <c r="F115" i="326"/>
  <c r="I114" i="326"/>
  <c r="J114" i="326" s="1"/>
  <c r="I113" i="326"/>
  <c r="J113" i="326" s="1"/>
  <c r="G112" i="326"/>
  <c r="F112" i="326"/>
  <c r="I110" i="326"/>
  <c r="J110" i="326" s="1"/>
  <c r="I109" i="326"/>
  <c r="J109" i="326" s="1"/>
  <c r="I108" i="326"/>
  <c r="J108" i="326" s="1"/>
  <c r="I107" i="326"/>
  <c r="J107" i="326" s="1"/>
  <c r="I106" i="326"/>
  <c r="J106" i="326" s="1"/>
  <c r="I105" i="326"/>
  <c r="J105" i="326" s="1"/>
  <c r="G104" i="326"/>
  <c r="F104" i="326"/>
  <c r="I102" i="326"/>
  <c r="J102" i="326" s="1"/>
  <c r="I101" i="326"/>
  <c r="J101" i="326" s="1"/>
  <c r="I100" i="326"/>
  <c r="J100" i="326" s="1"/>
  <c r="G99" i="326"/>
  <c r="F99" i="326"/>
  <c r="I98" i="326"/>
  <c r="J98" i="326" s="1"/>
  <c r="I97" i="326"/>
  <c r="J97" i="326" s="1"/>
  <c r="I96" i="326"/>
  <c r="J96" i="326" s="1"/>
  <c r="I95" i="326"/>
  <c r="J95" i="326" s="1"/>
  <c r="I94" i="326"/>
  <c r="J94" i="326" s="1"/>
  <c r="I93" i="326"/>
  <c r="J93" i="326" s="1"/>
  <c r="I92" i="326"/>
  <c r="J92" i="326" s="1"/>
  <c r="I91" i="326"/>
  <c r="J91" i="326" s="1"/>
  <c r="I90" i="326"/>
  <c r="J90" i="326" s="1"/>
  <c r="I89" i="326"/>
  <c r="J89" i="326" s="1"/>
  <c r="I88" i="326"/>
  <c r="J88" i="326" s="1"/>
  <c r="I87" i="326"/>
  <c r="J87" i="326" s="1"/>
  <c r="I86" i="326"/>
  <c r="J86" i="326" s="1"/>
  <c r="I85" i="326"/>
  <c r="J85" i="326" s="1"/>
  <c r="I84" i="326"/>
  <c r="J84" i="326" s="1"/>
  <c r="I83" i="326"/>
  <c r="J83" i="326" s="1"/>
  <c r="I82" i="326"/>
  <c r="J82" i="326" s="1"/>
  <c r="I81" i="326"/>
  <c r="J81" i="326" s="1"/>
  <c r="I80" i="326"/>
  <c r="J80" i="326" s="1"/>
  <c r="I79" i="326"/>
  <c r="J79" i="326" s="1"/>
  <c r="I78" i="326"/>
  <c r="J78" i="326" s="1"/>
  <c r="I77" i="326"/>
  <c r="J77" i="326" s="1"/>
  <c r="G76" i="326"/>
  <c r="F76" i="326"/>
  <c r="F75" i="326" s="1"/>
  <c r="J74" i="326"/>
  <c r="I73" i="326"/>
  <c r="J73" i="326" s="1"/>
  <c r="I72" i="326"/>
  <c r="J72" i="326" s="1"/>
  <c r="I71" i="326"/>
  <c r="J71" i="326" s="1"/>
  <c r="I70" i="326"/>
  <c r="J70" i="326" s="1"/>
  <c r="G69" i="326"/>
  <c r="F69" i="326"/>
  <c r="I68" i="326"/>
  <c r="J68" i="326" s="1"/>
  <c r="I67" i="326"/>
  <c r="J67" i="326" s="1"/>
  <c r="I66" i="326"/>
  <c r="J66" i="326" s="1"/>
  <c r="I65" i="326"/>
  <c r="J65" i="326" s="1"/>
  <c r="I64" i="326"/>
  <c r="J64" i="326" s="1"/>
  <c r="G63" i="326"/>
  <c r="F63" i="326"/>
  <c r="I62" i="326"/>
  <c r="J62" i="326" s="1"/>
  <c r="I61" i="326"/>
  <c r="J61" i="326" s="1"/>
  <c r="I60" i="326"/>
  <c r="J60" i="326" s="1"/>
  <c r="I59" i="326"/>
  <c r="J59" i="326" s="1"/>
  <c r="I58" i="326"/>
  <c r="J58" i="326" s="1"/>
  <c r="I57" i="326"/>
  <c r="J57" i="326" s="1"/>
  <c r="I56" i="326"/>
  <c r="J56" i="326" s="1"/>
  <c r="I55" i="326"/>
  <c r="J55" i="326" s="1"/>
  <c r="I54" i="326"/>
  <c r="J54" i="326" s="1"/>
  <c r="I52" i="326"/>
  <c r="J52" i="326" s="1"/>
  <c r="I51" i="326"/>
  <c r="J51" i="326" s="1"/>
  <c r="I50" i="326"/>
  <c r="J50" i="326" s="1"/>
  <c r="I49" i="326"/>
  <c r="J49" i="326" s="1"/>
  <c r="I48" i="326"/>
  <c r="J48" i="326" s="1"/>
  <c r="I47" i="326"/>
  <c r="J47" i="326" s="1"/>
  <c r="I46" i="326"/>
  <c r="J46" i="326" s="1"/>
  <c r="G45" i="326"/>
  <c r="F45" i="326"/>
  <c r="I44" i="326"/>
  <c r="J44" i="326" s="1"/>
  <c r="I43" i="326"/>
  <c r="J43" i="326" s="1"/>
  <c r="I42" i="326"/>
  <c r="J42" i="326" s="1"/>
  <c r="I41" i="326"/>
  <c r="J41" i="326" s="1"/>
  <c r="I40" i="326"/>
  <c r="J40" i="326" s="1"/>
  <c r="I39" i="326"/>
  <c r="J39" i="326" s="1"/>
  <c r="G38" i="326"/>
  <c r="F38" i="326"/>
  <c r="I37" i="326"/>
  <c r="J37" i="326" s="1"/>
  <c r="I36" i="326"/>
  <c r="J36" i="326" s="1"/>
  <c r="I35" i="326"/>
  <c r="J35" i="326" s="1"/>
  <c r="I34" i="326"/>
  <c r="J34" i="326" s="1"/>
  <c r="I33" i="326"/>
  <c r="J33" i="326" s="1"/>
  <c r="I32" i="326"/>
  <c r="J32" i="326" s="1"/>
  <c r="I31" i="326"/>
  <c r="J31" i="326" s="1"/>
  <c r="I30" i="326"/>
  <c r="J30" i="326" s="1"/>
  <c r="I29" i="326"/>
  <c r="J29" i="326" s="1"/>
  <c r="I28" i="326"/>
  <c r="J28" i="326" s="1"/>
  <c r="G27" i="326"/>
  <c r="F27" i="326"/>
  <c r="I26" i="326"/>
  <c r="J26" i="326" s="1"/>
  <c r="I25" i="326"/>
  <c r="J25" i="326" s="1"/>
  <c r="I24" i="326"/>
  <c r="J24" i="326" s="1"/>
  <c r="I23" i="326"/>
  <c r="J23" i="326" s="1"/>
  <c r="I22" i="326"/>
  <c r="J22" i="326" s="1"/>
  <c r="I21" i="326"/>
  <c r="J21" i="326" s="1"/>
  <c r="I20" i="326"/>
  <c r="J20" i="326" s="1"/>
  <c r="I19" i="326"/>
  <c r="J19" i="326" s="1"/>
  <c r="I18" i="326"/>
  <c r="J18" i="326" s="1"/>
  <c r="G17" i="326"/>
  <c r="F17" i="326"/>
  <c r="I16" i="326"/>
  <c r="J16" i="326" s="1"/>
  <c r="I15" i="326"/>
  <c r="J15" i="326" s="1"/>
  <c r="I14" i="326"/>
  <c r="J14" i="326" s="1"/>
  <c r="G13" i="326"/>
  <c r="F13" i="326"/>
  <c r="I12" i="326"/>
  <c r="J12" i="326" s="1"/>
  <c r="I11" i="326"/>
  <c r="J11" i="326" s="1"/>
  <c r="I10" i="326"/>
  <c r="J10" i="326" s="1"/>
  <c r="I9" i="326"/>
  <c r="J9" i="326" s="1"/>
  <c r="I163" i="242"/>
  <c r="J163" i="242" s="1"/>
  <c r="I144" i="242"/>
  <c r="J144" i="242" s="1"/>
  <c r="I143" i="242"/>
  <c r="J143" i="242" s="1"/>
  <c r="I146" i="242"/>
  <c r="J146" i="242" s="1"/>
  <c r="I145" i="242"/>
  <c r="J145" i="242" s="1"/>
  <c r="I147" i="242"/>
  <c r="J147" i="242" s="1"/>
  <c r="J167" i="242"/>
  <c r="I166" i="242"/>
  <c r="J166" i="242" s="1"/>
  <c r="I160" i="242"/>
  <c r="J160" i="242" s="1"/>
  <c r="I157" i="242"/>
  <c r="J157" i="242" s="1"/>
  <c r="J155" i="242"/>
  <c r="I154" i="242"/>
  <c r="J154" i="242" s="1"/>
  <c r="K153" i="242"/>
  <c r="I124" i="242"/>
  <c r="J124" i="242" s="1"/>
  <c r="I123" i="242"/>
  <c r="J123" i="242" s="1"/>
  <c r="I122" i="242"/>
  <c r="J122" i="242" s="1"/>
  <c r="I113" i="242"/>
  <c r="J113" i="242" s="1"/>
  <c r="I114" i="242"/>
  <c r="J114" i="242" s="1"/>
  <c r="I117" i="242"/>
  <c r="J117" i="242" s="1"/>
  <c r="I116" i="242"/>
  <c r="J116" i="242" s="1"/>
  <c r="I107" i="242"/>
  <c r="J107" i="242" s="1"/>
  <c r="I106" i="242"/>
  <c r="J106" i="242" s="1"/>
  <c r="I105" i="242"/>
  <c r="J105" i="242" s="1"/>
  <c r="I87" i="242"/>
  <c r="J87" i="242" s="1"/>
  <c r="I86" i="242"/>
  <c r="J86" i="242" s="1"/>
  <c r="I85" i="242"/>
  <c r="J85" i="242" s="1"/>
  <c r="I84" i="242"/>
  <c r="J84" i="242" s="1"/>
  <c r="I83" i="242"/>
  <c r="J83" i="242" s="1"/>
  <c r="I82" i="242"/>
  <c r="J82" i="242" s="1"/>
  <c r="I81" i="242"/>
  <c r="J81" i="242" s="1"/>
  <c r="I80" i="242"/>
  <c r="J80" i="242" s="1"/>
  <c r="I79" i="242"/>
  <c r="J79" i="242" s="1"/>
  <c r="I78" i="242"/>
  <c r="J78" i="242" s="1"/>
  <c r="I77" i="242"/>
  <c r="J77" i="242" s="1"/>
  <c r="I68" i="242"/>
  <c r="J68" i="242" s="1"/>
  <c r="I67" i="242"/>
  <c r="J67" i="242" s="1"/>
  <c r="I66" i="242"/>
  <c r="J66" i="242" s="1"/>
  <c r="I65" i="242"/>
  <c r="J65" i="242" s="1"/>
  <c r="I64" i="242"/>
  <c r="J64" i="242" s="1"/>
  <c r="I18" i="242"/>
  <c r="J18" i="242" s="1"/>
  <c r="I19" i="242"/>
  <c r="J19" i="242" s="1"/>
  <c r="I20" i="242"/>
  <c r="J20" i="242" s="1"/>
  <c r="I21" i="242"/>
  <c r="J21" i="242" s="1"/>
  <c r="I22" i="242"/>
  <c r="J22" i="242" s="1"/>
  <c r="I23" i="242"/>
  <c r="J23" i="242" s="1"/>
  <c r="I24" i="242"/>
  <c r="J24" i="242" s="1"/>
  <c r="I62" i="242"/>
  <c r="J62" i="242" s="1"/>
  <c r="I61" i="242"/>
  <c r="J61" i="242" s="1"/>
  <c r="I60" i="242"/>
  <c r="J60" i="242" s="1"/>
  <c r="I59" i="242"/>
  <c r="J59" i="242" s="1"/>
  <c r="I58" i="242"/>
  <c r="J58" i="242" s="1"/>
  <c r="I57" i="242"/>
  <c r="J57" i="242" s="1"/>
  <c r="I56" i="242"/>
  <c r="J56" i="242" s="1"/>
  <c r="I55" i="242"/>
  <c r="J55" i="242" s="1"/>
  <c r="I54" i="242"/>
  <c r="J54" i="242" s="1"/>
  <c r="I48" i="242"/>
  <c r="J48" i="242" s="1"/>
  <c r="I52" i="242"/>
  <c r="J52" i="242" s="1"/>
  <c r="I51" i="242"/>
  <c r="J51" i="242" s="1"/>
  <c r="I50" i="242"/>
  <c r="J50" i="242" s="1"/>
  <c r="I49" i="242"/>
  <c r="J49" i="242" s="1"/>
  <c r="I47" i="242"/>
  <c r="J47" i="242" s="1"/>
  <c r="I46" i="242"/>
  <c r="J46" i="242" s="1"/>
  <c r="I41" i="242"/>
  <c r="J41" i="242" s="1"/>
  <c r="I42" i="242"/>
  <c r="J42" i="242" s="1"/>
  <c r="I40" i="242"/>
  <c r="J40" i="242" s="1"/>
  <c r="I44" i="242"/>
  <c r="J44" i="242" s="1"/>
  <c r="I43" i="242"/>
  <c r="J43" i="242" s="1"/>
  <c r="I39" i="242"/>
  <c r="J39" i="242" s="1"/>
  <c r="I36" i="242"/>
  <c r="J36" i="242" s="1"/>
  <c r="I35" i="242"/>
  <c r="J35" i="242" s="1"/>
  <c r="I34" i="242"/>
  <c r="J34" i="242" s="1"/>
  <c r="I33" i="242"/>
  <c r="J33" i="242" s="1"/>
  <c r="I32" i="242"/>
  <c r="J32" i="242" s="1"/>
  <c r="I31" i="242"/>
  <c r="J31" i="242" s="1"/>
  <c r="I30" i="242"/>
  <c r="J30" i="242" s="1"/>
  <c r="I29" i="242"/>
  <c r="J29" i="242" s="1"/>
  <c r="I26" i="242"/>
  <c r="J26" i="242" s="1"/>
  <c r="I25" i="242"/>
  <c r="J25" i="242" s="1"/>
  <c r="I10" i="242"/>
  <c r="J10" i="242" s="1"/>
  <c r="I9" i="242"/>
  <c r="J9" i="242" s="1"/>
  <c r="A245" i="330"/>
  <c r="A241" i="330"/>
  <c r="G237" i="330"/>
  <c r="G47" i="241" s="1"/>
  <c r="F237" i="330"/>
  <c r="F47" i="241" s="1"/>
  <c r="E237" i="330"/>
  <c r="E47" i="241" s="1"/>
  <c r="D237" i="330"/>
  <c r="D47" i="241" s="1"/>
  <c r="A240" i="330"/>
  <c r="A239" i="330"/>
  <c r="A238" i="330"/>
  <c r="A235" i="330"/>
  <c r="A230" i="330"/>
  <c r="A231" i="330"/>
  <c r="A226" i="330"/>
  <c r="A222" i="330"/>
  <c r="A221" i="330"/>
  <c r="A220" i="330"/>
  <c r="A219" i="330"/>
  <c r="A218" i="330"/>
  <c r="A215" i="330"/>
  <c r="A214" i="330"/>
  <c r="A213" i="330"/>
  <c r="A212" i="330"/>
  <c r="A211" i="330"/>
  <c r="A208" i="330"/>
  <c r="A207" i="330"/>
  <c r="A206" i="330"/>
  <c r="A205" i="330"/>
  <c r="A204" i="330"/>
  <c r="A203" i="330"/>
  <c r="A202" i="330"/>
  <c r="A201" i="330"/>
  <c r="A200" i="330"/>
  <c r="A199" i="330"/>
  <c r="A196" i="330"/>
  <c r="A195" i="330"/>
  <c r="A194" i="330"/>
  <c r="A193" i="330"/>
  <c r="A192" i="330"/>
  <c r="A191" i="330"/>
  <c r="A190" i="330"/>
  <c r="A188" i="330"/>
  <c r="A187" i="330"/>
  <c r="G186" i="330"/>
  <c r="G37" i="241" s="1"/>
  <c r="F186" i="330"/>
  <c r="F37" i="241" s="1"/>
  <c r="E186" i="330"/>
  <c r="E37" i="241" s="1"/>
  <c r="D186" i="330"/>
  <c r="D37" i="241" s="1"/>
  <c r="C186" i="330"/>
  <c r="C37" i="241" s="1"/>
  <c r="A178" i="330"/>
  <c r="A177" i="330"/>
  <c r="A176" i="330"/>
  <c r="G173" i="330"/>
  <c r="F173" i="330"/>
  <c r="F35" i="241" s="1"/>
  <c r="E173" i="330"/>
  <c r="E35" i="241" s="1"/>
  <c r="D173" i="330"/>
  <c r="D35" i="241" s="1"/>
  <c r="A175" i="330"/>
  <c r="A174" i="330"/>
  <c r="A172" i="330"/>
  <c r="A171" i="330"/>
  <c r="A170" i="330"/>
  <c r="A169" i="330"/>
  <c r="A168" i="330"/>
  <c r="A167" i="330"/>
  <c r="A166" i="330"/>
  <c r="A165" i="330"/>
  <c r="A164" i="330"/>
  <c r="A163" i="330"/>
  <c r="A162" i="330"/>
  <c r="A161" i="330"/>
  <c r="A160" i="330"/>
  <c r="A159" i="330"/>
  <c r="A158" i="330"/>
  <c r="A157" i="330"/>
  <c r="A156" i="330"/>
  <c r="A155" i="330"/>
  <c r="A154" i="330"/>
  <c r="A153" i="330"/>
  <c r="A152" i="330"/>
  <c r="A149" i="330"/>
  <c r="A147" i="330"/>
  <c r="A146" i="330"/>
  <c r="A145" i="330"/>
  <c r="A144" i="330"/>
  <c r="A143" i="330"/>
  <c r="A142" i="330"/>
  <c r="A141" i="330"/>
  <c r="A140" i="330"/>
  <c r="A139" i="330"/>
  <c r="A138" i="330"/>
  <c r="A137" i="330"/>
  <c r="A136" i="330"/>
  <c r="A135" i="330"/>
  <c r="A134" i="330"/>
  <c r="G133" i="330"/>
  <c r="G31" i="241" s="1"/>
  <c r="F133" i="330"/>
  <c r="F31" i="241" s="1"/>
  <c r="E133" i="330"/>
  <c r="E31" i="241" s="1"/>
  <c r="D133" i="330"/>
  <c r="D31" i="241" s="1"/>
  <c r="G28" i="330"/>
  <c r="G11" i="241" s="1"/>
  <c r="F28" i="330"/>
  <c r="F11" i="241" s="1"/>
  <c r="E28" i="330"/>
  <c r="E11" i="241" s="1"/>
  <c r="D28" i="330"/>
  <c r="D11" i="241" s="1"/>
  <c r="G10" i="330"/>
  <c r="G8" i="241" s="1"/>
  <c r="F10" i="330"/>
  <c r="E10" i="330"/>
  <c r="E8" i="241" s="1"/>
  <c r="D10" i="330"/>
  <c r="D8" i="241" s="1"/>
  <c r="A148" i="330"/>
  <c r="D148" i="330"/>
  <c r="D32" i="241" s="1"/>
  <c r="E148" i="330"/>
  <c r="E32" i="241" s="1"/>
  <c r="F148" i="330"/>
  <c r="F32" i="241" s="1"/>
  <c r="G148" i="330"/>
  <c r="G32" i="241" s="1"/>
  <c r="A150" i="330"/>
  <c r="A151" i="330"/>
  <c r="D151" i="330"/>
  <c r="D34" i="241" s="1"/>
  <c r="E151" i="330"/>
  <c r="E34" i="241" s="1"/>
  <c r="F34" i="241"/>
  <c r="G34" i="241"/>
  <c r="G114" i="330"/>
  <c r="G24" i="241" s="1"/>
  <c r="F114" i="330"/>
  <c r="F24" i="241" s="1"/>
  <c r="E114" i="330"/>
  <c r="E24" i="241" s="1"/>
  <c r="D114" i="330"/>
  <c r="D24" i="241" s="1"/>
  <c r="G75" i="330"/>
  <c r="G17" i="241" s="1"/>
  <c r="F75" i="330"/>
  <c r="F17" i="241" s="1"/>
  <c r="E75" i="330"/>
  <c r="D75" i="330"/>
  <c r="D17" i="241" s="1"/>
  <c r="G66" i="330"/>
  <c r="G15" i="241" s="1"/>
  <c r="F66" i="330"/>
  <c r="F15" i="241" s="1"/>
  <c r="E66" i="330"/>
  <c r="E15" i="241" s="1"/>
  <c r="D66" i="330"/>
  <c r="D15" i="241" s="1"/>
  <c r="G63" i="330"/>
  <c r="G14" i="241" s="1"/>
  <c r="F63" i="330"/>
  <c r="F14" i="241" s="1"/>
  <c r="E63" i="330"/>
  <c r="E14" i="241" s="1"/>
  <c r="D63" i="330"/>
  <c r="D14" i="241" s="1"/>
  <c r="C63" i="330"/>
  <c r="C14" i="241" s="1"/>
  <c r="G50" i="330"/>
  <c r="F50" i="330"/>
  <c r="F12" i="241" s="1"/>
  <c r="E50" i="330"/>
  <c r="E12" i="241" s="1"/>
  <c r="D50" i="330"/>
  <c r="D12" i="241" s="1"/>
  <c r="C50" i="330"/>
  <c r="C12" i="241" s="1"/>
  <c r="D56" i="330"/>
  <c r="D13" i="241" s="1"/>
  <c r="E56" i="330"/>
  <c r="E13" i="241" s="1"/>
  <c r="F56" i="330"/>
  <c r="F13" i="241" s="1"/>
  <c r="G56" i="330"/>
  <c r="G13" i="241" s="1"/>
  <c r="E81" i="100"/>
  <c r="E79" i="100"/>
  <c r="F81" i="100"/>
  <c r="F79" i="100"/>
  <c r="A21" i="267"/>
  <c r="I8" i="177"/>
  <c r="J8" i="177" s="1"/>
  <c r="I9" i="177"/>
  <c r="J9" i="177" s="1"/>
  <c r="H40" i="177"/>
  <c r="L20" i="175"/>
  <c r="L19" i="175"/>
  <c r="L18" i="175"/>
  <c r="L17" i="175"/>
  <c r="L9" i="175"/>
  <c r="L10" i="175"/>
  <c r="L13" i="175"/>
  <c r="K15" i="175"/>
  <c r="L15" i="175"/>
  <c r="L12" i="175"/>
  <c r="L11" i="175"/>
  <c r="L8" i="175"/>
  <c r="L7" i="175"/>
  <c r="L6" i="175"/>
  <c r="L5" i="175"/>
  <c r="X11" i="329"/>
  <c r="D64" i="100" s="1"/>
  <c r="F9" i="334"/>
  <c r="G31" i="334"/>
  <c r="G30" i="334"/>
  <c r="F50" i="334"/>
  <c r="G50" i="334" s="1"/>
  <c r="F49" i="334"/>
  <c r="G49" i="334" s="1"/>
  <c r="F47" i="334"/>
  <c r="G47" i="334" s="1"/>
  <c r="F46" i="334"/>
  <c r="G46" i="334" s="1"/>
  <c r="F44" i="334"/>
  <c r="G44" i="334" s="1"/>
  <c r="F40" i="334"/>
  <c r="F38" i="334"/>
  <c r="G38" i="334" s="1"/>
  <c r="F37" i="334"/>
  <c r="G37" i="334" s="1"/>
  <c r="F36" i="334"/>
  <c r="G36" i="334" s="1"/>
  <c r="F35" i="334"/>
  <c r="G35" i="334" s="1"/>
  <c r="F34" i="334"/>
  <c r="G34" i="334" s="1"/>
  <c r="F33" i="334"/>
  <c r="F28" i="334"/>
  <c r="F27" i="334"/>
  <c r="G27" i="334" s="1"/>
  <c r="F25" i="334"/>
  <c r="G25" i="334" s="1"/>
  <c r="F24" i="334"/>
  <c r="G24" i="334" s="1"/>
  <c r="F22" i="334"/>
  <c r="G22" i="334" s="1"/>
  <c r="F20" i="334"/>
  <c r="G20" i="334" s="1"/>
  <c r="F19" i="334"/>
  <c r="G19" i="334" s="1"/>
  <c r="F18" i="334"/>
  <c r="G18" i="334" s="1"/>
  <c r="F17" i="334"/>
  <c r="G17" i="334" s="1"/>
  <c r="F15" i="334"/>
  <c r="G15" i="334" s="1"/>
  <c r="F14" i="334"/>
  <c r="G14" i="334" s="1"/>
  <c r="F13" i="334"/>
  <c r="G13" i="334" s="1"/>
  <c r="F12" i="334"/>
  <c r="G12" i="334" s="1"/>
  <c r="F11" i="334"/>
  <c r="G11" i="334" s="1"/>
  <c r="F10" i="334"/>
  <c r="G10" i="334" s="1"/>
  <c r="B107" i="100"/>
  <c r="B90" i="100"/>
  <c r="K6" i="175"/>
  <c r="N21" i="175"/>
  <c r="N14" i="175"/>
  <c r="K5" i="175"/>
  <c r="K19" i="175"/>
  <c r="C80" i="172" s="1"/>
  <c r="B80" i="172" s="1"/>
  <c r="K13" i="175"/>
  <c r="K12" i="175"/>
  <c r="K11" i="175"/>
  <c r="K10" i="175"/>
  <c r="K9" i="175"/>
  <c r="K8" i="175"/>
  <c r="K7" i="175"/>
  <c r="A54" i="334"/>
  <c r="A50" i="334"/>
  <c r="E48" i="334"/>
  <c r="D48" i="334"/>
  <c r="C48" i="334"/>
  <c r="A47" i="334"/>
  <c r="E45" i="334"/>
  <c r="D45" i="334"/>
  <c r="C45" i="334"/>
  <c r="A44" i="334"/>
  <c r="E39" i="334"/>
  <c r="D39" i="334"/>
  <c r="C39" i="334"/>
  <c r="A38" i="334"/>
  <c r="A33" i="334"/>
  <c r="E32" i="334"/>
  <c r="D32" i="334"/>
  <c r="C32" i="334"/>
  <c r="A28" i="334"/>
  <c r="E26" i="334"/>
  <c r="D26" i="334"/>
  <c r="C26" i="334"/>
  <c r="A26" i="334"/>
  <c r="A25" i="334"/>
  <c r="E23" i="334"/>
  <c r="D23" i="334"/>
  <c r="C23" i="334"/>
  <c r="A23" i="334"/>
  <c r="A22" i="334"/>
  <c r="A20" i="334"/>
  <c r="A17" i="334"/>
  <c r="E16" i="334"/>
  <c r="D16" i="334"/>
  <c r="C16" i="334"/>
  <c r="A16" i="334"/>
  <c r="A15" i="334"/>
  <c r="A13" i="334"/>
  <c r="A12" i="334"/>
  <c r="A11" i="334"/>
  <c r="A10" i="334"/>
  <c r="A9" i="334"/>
  <c r="E8" i="334"/>
  <c r="D8" i="334"/>
  <c r="C8" i="334"/>
  <c r="A8" i="334"/>
  <c r="G3" i="334"/>
  <c r="F3" i="334"/>
  <c r="E3" i="334"/>
  <c r="D3" i="334"/>
  <c r="B2" i="334"/>
  <c r="A2" i="334"/>
  <c r="E28" i="269"/>
  <c r="B91" i="100"/>
  <c r="F10" i="267"/>
  <c r="E10" i="267"/>
  <c r="D10" i="267"/>
  <c r="C10" i="267"/>
  <c r="A10" i="269"/>
  <c r="A11" i="269"/>
  <c r="A12" i="269"/>
  <c r="F8" i="267"/>
  <c r="E8" i="267"/>
  <c r="D8" i="267"/>
  <c r="C8" i="267"/>
  <c r="B10" i="267"/>
  <c r="B8" i="267"/>
  <c r="B9" i="267"/>
  <c r="C307" i="322"/>
  <c r="I92" i="318"/>
  <c r="J92" i="318" s="1"/>
  <c r="I91" i="318"/>
  <c r="J91" i="318" s="1"/>
  <c r="I90" i="318"/>
  <c r="J90" i="318" s="1"/>
  <c r="I89" i="318"/>
  <c r="J89" i="318" s="1"/>
  <c r="I78" i="318"/>
  <c r="J78" i="318" s="1"/>
  <c r="I77" i="318"/>
  <c r="J77" i="318" s="1"/>
  <c r="I76" i="318"/>
  <c r="J76" i="318" s="1"/>
  <c r="I75" i="318"/>
  <c r="J75" i="318" s="1"/>
  <c r="I63" i="318"/>
  <c r="J63" i="318" s="1"/>
  <c r="I61" i="318"/>
  <c r="J61" i="318" s="1"/>
  <c r="I60" i="318"/>
  <c r="J60" i="318" s="1"/>
  <c r="I59" i="318"/>
  <c r="J59" i="318" s="1"/>
  <c r="I58" i="318"/>
  <c r="J58" i="318" s="1"/>
  <c r="I57" i="318"/>
  <c r="J57" i="318" s="1"/>
  <c r="F99" i="100"/>
  <c r="E99" i="100"/>
  <c r="K3" i="333"/>
  <c r="J3" i="333"/>
  <c r="I3" i="333"/>
  <c r="H3" i="333"/>
  <c r="G3" i="333"/>
  <c r="F3" i="333"/>
  <c r="E3" i="333"/>
  <c r="D3" i="333"/>
  <c r="C3" i="333"/>
  <c r="B2" i="333"/>
  <c r="A2" i="333"/>
  <c r="A143" i="323"/>
  <c r="A315" i="323"/>
  <c r="A178" i="324"/>
  <c r="A179" i="324"/>
  <c r="A180" i="324"/>
  <c r="A181" i="324"/>
  <c r="A182" i="324"/>
  <c r="A183" i="324"/>
  <c r="A184" i="324"/>
  <c r="A185" i="324"/>
  <c r="A186" i="324"/>
  <c r="A188" i="324"/>
  <c r="A189" i="324"/>
  <c r="A190" i="324"/>
  <c r="A191" i="324"/>
  <c r="A192" i="324"/>
  <c r="A193" i="324"/>
  <c r="A194" i="324"/>
  <c r="A195" i="324"/>
  <c r="A196" i="324"/>
  <c r="A197" i="324"/>
  <c r="A199" i="324"/>
  <c r="A200" i="324"/>
  <c r="A201" i="324"/>
  <c r="A202" i="324"/>
  <c r="A203" i="324"/>
  <c r="A204" i="324"/>
  <c r="A205" i="324"/>
  <c r="A206" i="324"/>
  <c r="A207" i="324"/>
  <c r="A208" i="324"/>
  <c r="A210" i="324"/>
  <c r="A211" i="324"/>
  <c r="A212" i="324"/>
  <c r="A213" i="324"/>
  <c r="A214" i="324"/>
  <c r="A215" i="324"/>
  <c r="A216" i="324"/>
  <c r="A217" i="324"/>
  <c r="A218" i="324"/>
  <c r="A219" i="324"/>
  <c r="A221" i="324"/>
  <c r="A222" i="324"/>
  <c r="A223" i="324"/>
  <c r="A224" i="324"/>
  <c r="A225" i="324"/>
  <c r="A226" i="324"/>
  <c r="A227" i="324"/>
  <c r="A228" i="324"/>
  <c r="A229" i="324"/>
  <c r="A230" i="324"/>
  <c r="A232" i="324"/>
  <c r="A233" i="324"/>
  <c r="A234" i="324"/>
  <c r="A235" i="324"/>
  <c r="A236" i="324"/>
  <c r="A237" i="324"/>
  <c r="A238" i="324"/>
  <c r="A239" i="324"/>
  <c r="A240" i="324"/>
  <c r="A241" i="324"/>
  <c r="A243" i="324"/>
  <c r="A244" i="324"/>
  <c r="A245" i="324"/>
  <c r="A246" i="324"/>
  <c r="A247" i="324"/>
  <c r="A248" i="324"/>
  <c r="A249" i="324"/>
  <c r="A250" i="324"/>
  <c r="A251" i="324"/>
  <c r="A252" i="324"/>
  <c r="A254" i="324"/>
  <c r="A255" i="324"/>
  <c r="A256" i="324"/>
  <c r="A257" i="324"/>
  <c r="A258" i="324"/>
  <c r="A259" i="324"/>
  <c r="A260" i="324"/>
  <c r="A261" i="324"/>
  <c r="A262" i="324"/>
  <c r="A263" i="324"/>
  <c r="A265" i="324"/>
  <c r="A266" i="324"/>
  <c r="A267" i="324"/>
  <c r="A268" i="324"/>
  <c r="A269" i="324"/>
  <c r="A270" i="324"/>
  <c r="A271" i="324"/>
  <c r="A272" i="324"/>
  <c r="A273" i="324"/>
  <c r="A274" i="324"/>
  <c r="A276" i="324"/>
  <c r="A277" i="324"/>
  <c r="A278" i="324"/>
  <c r="A279" i="324"/>
  <c r="A280" i="324"/>
  <c r="A281" i="324"/>
  <c r="A282" i="324"/>
  <c r="A283" i="324"/>
  <c r="A284" i="324"/>
  <c r="A285" i="324"/>
  <c r="A287" i="324"/>
  <c r="A288" i="324"/>
  <c r="A289" i="324"/>
  <c r="A290" i="324"/>
  <c r="A291" i="324"/>
  <c r="A292" i="324"/>
  <c r="A293" i="324"/>
  <c r="A294" i="324"/>
  <c r="A295" i="324"/>
  <c r="A296" i="324"/>
  <c r="A298" i="324"/>
  <c r="A299" i="324"/>
  <c r="A300" i="324"/>
  <c r="A301" i="324"/>
  <c r="A302" i="324"/>
  <c r="A303" i="324"/>
  <c r="A304" i="324"/>
  <c r="A305" i="324"/>
  <c r="A306" i="324"/>
  <c r="A307" i="324"/>
  <c r="A309" i="324"/>
  <c r="A310" i="324"/>
  <c r="A311" i="324"/>
  <c r="A312" i="324"/>
  <c r="A313" i="324"/>
  <c r="A314" i="324"/>
  <c r="A315" i="324"/>
  <c r="A316" i="324"/>
  <c r="A317" i="324"/>
  <c r="A318" i="324"/>
  <c r="A320" i="324"/>
  <c r="A321" i="324"/>
  <c r="A322" i="324"/>
  <c r="A323" i="324"/>
  <c r="A324" i="324"/>
  <c r="A325" i="324"/>
  <c r="A326" i="324"/>
  <c r="A327" i="324"/>
  <c r="A328" i="324"/>
  <c r="A329" i="324"/>
  <c r="A331" i="324"/>
  <c r="A332" i="324"/>
  <c r="A333" i="324"/>
  <c r="A334" i="324"/>
  <c r="A335" i="324"/>
  <c r="A336" i="324"/>
  <c r="A337" i="324"/>
  <c r="A338" i="324"/>
  <c r="A339" i="324"/>
  <c r="A340" i="324"/>
  <c r="A177" i="324"/>
  <c r="A9" i="324"/>
  <c r="A10" i="324"/>
  <c r="A11" i="324"/>
  <c r="A12" i="324"/>
  <c r="A13" i="324"/>
  <c r="A14" i="324"/>
  <c r="A15" i="324"/>
  <c r="A16" i="324"/>
  <c r="A17" i="324"/>
  <c r="A19" i="324"/>
  <c r="A20" i="324"/>
  <c r="A21" i="324"/>
  <c r="A22" i="324"/>
  <c r="A23" i="324"/>
  <c r="A24" i="324"/>
  <c r="A25" i="324"/>
  <c r="A26" i="324"/>
  <c r="A27" i="324"/>
  <c r="A28" i="324"/>
  <c r="A30" i="324"/>
  <c r="A31" i="324"/>
  <c r="A32" i="324"/>
  <c r="A33" i="324"/>
  <c r="A34" i="324"/>
  <c r="A35" i="324"/>
  <c r="A36" i="324"/>
  <c r="A37" i="324"/>
  <c r="A38" i="324"/>
  <c r="A39" i="324"/>
  <c r="A41" i="324"/>
  <c r="A42" i="324"/>
  <c r="A43" i="324"/>
  <c r="A44" i="324"/>
  <c r="A45" i="324"/>
  <c r="A46" i="324"/>
  <c r="A47" i="324"/>
  <c r="A48" i="324"/>
  <c r="A49" i="324"/>
  <c r="A50" i="324"/>
  <c r="A52" i="324"/>
  <c r="A53" i="324"/>
  <c r="A54" i="324"/>
  <c r="A55" i="324"/>
  <c r="A56" i="324"/>
  <c r="A57" i="324"/>
  <c r="A58" i="324"/>
  <c r="A59" i="324"/>
  <c r="A60" i="324"/>
  <c r="A61" i="324"/>
  <c r="A63" i="324"/>
  <c r="A64" i="324"/>
  <c r="A65" i="324"/>
  <c r="A66" i="324"/>
  <c r="A67" i="324"/>
  <c r="A68" i="324"/>
  <c r="A69" i="324"/>
  <c r="A70" i="324"/>
  <c r="A71" i="324"/>
  <c r="A72" i="324"/>
  <c r="A74" i="324"/>
  <c r="A75" i="324"/>
  <c r="A76" i="324"/>
  <c r="A77" i="324"/>
  <c r="A78" i="324"/>
  <c r="A79" i="324"/>
  <c r="A80" i="324"/>
  <c r="A81" i="324"/>
  <c r="A82" i="324"/>
  <c r="A83" i="324"/>
  <c r="A85" i="324"/>
  <c r="A86" i="324"/>
  <c r="A87" i="324"/>
  <c r="A88" i="324"/>
  <c r="A89" i="324"/>
  <c r="A90" i="324"/>
  <c r="A91" i="324"/>
  <c r="A92" i="324"/>
  <c r="A93" i="324"/>
  <c r="A94" i="324"/>
  <c r="A96" i="324"/>
  <c r="A97" i="324"/>
  <c r="A98" i="324"/>
  <c r="A99" i="324"/>
  <c r="A100" i="324"/>
  <c r="A101" i="324"/>
  <c r="A102" i="324"/>
  <c r="A103" i="324"/>
  <c r="A104" i="324"/>
  <c r="A105" i="324"/>
  <c r="A107" i="324"/>
  <c r="A108" i="324"/>
  <c r="A109" i="324"/>
  <c r="A110" i="324"/>
  <c r="A111" i="324"/>
  <c r="A112" i="324"/>
  <c r="A113" i="324"/>
  <c r="A114" i="324"/>
  <c r="A115" i="324"/>
  <c r="A116" i="324"/>
  <c r="A118" i="324"/>
  <c r="A119" i="324"/>
  <c r="A120" i="324"/>
  <c r="A121" i="324"/>
  <c r="A122" i="324"/>
  <c r="A123" i="324"/>
  <c r="A124" i="324"/>
  <c r="A125" i="324"/>
  <c r="A126" i="324"/>
  <c r="A127" i="324"/>
  <c r="A129" i="324"/>
  <c r="A130" i="324"/>
  <c r="A131" i="324"/>
  <c r="A132" i="324"/>
  <c r="A133" i="324"/>
  <c r="A134" i="324"/>
  <c r="A135" i="324"/>
  <c r="A136" i="324"/>
  <c r="A137" i="324"/>
  <c r="A138" i="324"/>
  <c r="A140" i="324"/>
  <c r="A141" i="324"/>
  <c r="A142" i="324"/>
  <c r="A143" i="324"/>
  <c r="A144" i="324"/>
  <c r="A145" i="324"/>
  <c r="A146" i="324"/>
  <c r="A147" i="324"/>
  <c r="A148" i="324"/>
  <c r="A149" i="324"/>
  <c r="A151" i="324"/>
  <c r="A152" i="324"/>
  <c r="A153" i="324"/>
  <c r="A154" i="324"/>
  <c r="A155" i="324"/>
  <c r="A156" i="324"/>
  <c r="A157" i="324"/>
  <c r="A158" i="324"/>
  <c r="A159" i="324"/>
  <c r="A160" i="324"/>
  <c r="A162" i="324"/>
  <c r="A163" i="324"/>
  <c r="A164" i="324"/>
  <c r="A165" i="324"/>
  <c r="A166" i="324"/>
  <c r="A167" i="324"/>
  <c r="A168" i="324"/>
  <c r="A169" i="324"/>
  <c r="A170" i="324"/>
  <c r="A171" i="324"/>
  <c r="A8" i="324"/>
  <c r="A176" i="323"/>
  <c r="A177" i="323"/>
  <c r="A178" i="323"/>
  <c r="A179" i="323"/>
  <c r="A180" i="323"/>
  <c r="A181" i="323"/>
  <c r="A182" i="323"/>
  <c r="A183" i="323"/>
  <c r="A184" i="323"/>
  <c r="A186" i="323"/>
  <c r="A187" i="323"/>
  <c r="A188" i="323"/>
  <c r="A189" i="323"/>
  <c r="A190" i="323"/>
  <c r="A191" i="323"/>
  <c r="A192" i="323"/>
  <c r="A193" i="323"/>
  <c r="A194" i="323"/>
  <c r="A195" i="323"/>
  <c r="A197" i="323"/>
  <c r="A198" i="323"/>
  <c r="A199" i="323"/>
  <c r="A200" i="323"/>
  <c r="A201" i="323"/>
  <c r="A202" i="323"/>
  <c r="A203" i="323"/>
  <c r="A204" i="323"/>
  <c r="A205" i="323"/>
  <c r="A206" i="323"/>
  <c r="A208" i="323"/>
  <c r="A209" i="323"/>
  <c r="A210" i="323"/>
  <c r="A211" i="323"/>
  <c r="A212" i="323"/>
  <c r="A213" i="323"/>
  <c r="A214" i="323"/>
  <c r="A215" i="323"/>
  <c r="A216" i="323"/>
  <c r="A217" i="323"/>
  <c r="A219" i="323"/>
  <c r="A220" i="323"/>
  <c r="A221" i="323"/>
  <c r="A222" i="323"/>
  <c r="A223" i="323"/>
  <c r="A224" i="323"/>
  <c r="A225" i="323"/>
  <c r="A226" i="323"/>
  <c r="A227" i="323"/>
  <c r="A228" i="323"/>
  <c r="A230" i="323"/>
  <c r="A231" i="323"/>
  <c r="A232" i="323"/>
  <c r="A233" i="323"/>
  <c r="A234" i="323"/>
  <c r="A235" i="323"/>
  <c r="A236" i="323"/>
  <c r="A237" i="323"/>
  <c r="A238" i="323"/>
  <c r="A239" i="323"/>
  <c r="A241" i="323"/>
  <c r="A242" i="323"/>
  <c r="A243" i="323"/>
  <c r="A244" i="323"/>
  <c r="A245" i="323"/>
  <c r="A246" i="323"/>
  <c r="A247" i="323"/>
  <c r="A248" i="323"/>
  <c r="A249" i="323"/>
  <c r="A250" i="323"/>
  <c r="A252" i="323"/>
  <c r="A253" i="323"/>
  <c r="A254" i="323"/>
  <c r="A255" i="323"/>
  <c r="A256" i="323"/>
  <c r="A257" i="323"/>
  <c r="A258" i="323"/>
  <c r="A259" i="323"/>
  <c r="A260" i="323"/>
  <c r="A261" i="323"/>
  <c r="A263" i="323"/>
  <c r="A264" i="323"/>
  <c r="A265" i="323"/>
  <c r="A266" i="323"/>
  <c r="A267" i="323"/>
  <c r="A268" i="323"/>
  <c r="A269" i="323"/>
  <c r="A270" i="323"/>
  <c r="A271" i="323"/>
  <c r="A272" i="323"/>
  <c r="A274" i="323"/>
  <c r="A275" i="323"/>
  <c r="A276" i="323"/>
  <c r="A277" i="323"/>
  <c r="A278" i="323"/>
  <c r="A279" i="323"/>
  <c r="A280" i="323"/>
  <c r="A281" i="323"/>
  <c r="A282" i="323"/>
  <c r="A283" i="323"/>
  <c r="A285" i="323"/>
  <c r="A286" i="323"/>
  <c r="A287" i="323"/>
  <c r="A288" i="323"/>
  <c r="A289" i="323"/>
  <c r="A290" i="323"/>
  <c r="A291" i="323"/>
  <c r="A292" i="323"/>
  <c r="A293" i="323"/>
  <c r="A294" i="323"/>
  <c r="A296" i="323"/>
  <c r="A297" i="323"/>
  <c r="A298" i="323"/>
  <c r="A299" i="323"/>
  <c r="A300" i="323"/>
  <c r="A301" i="323"/>
  <c r="A302" i="323"/>
  <c r="A303" i="323"/>
  <c r="A304" i="323"/>
  <c r="A305" i="323"/>
  <c r="A307" i="323"/>
  <c r="A308" i="323"/>
  <c r="A309" i="323"/>
  <c r="A310" i="323"/>
  <c r="A311" i="323"/>
  <c r="A312" i="323"/>
  <c r="A313" i="323"/>
  <c r="A314" i="323"/>
  <c r="A316" i="323"/>
  <c r="A318" i="323"/>
  <c r="A319" i="323"/>
  <c r="A320" i="323"/>
  <c r="A321" i="323"/>
  <c r="A322" i="323"/>
  <c r="A323" i="323"/>
  <c r="A324" i="323"/>
  <c r="A325" i="323"/>
  <c r="A326" i="323"/>
  <c r="A327" i="323"/>
  <c r="A329" i="323"/>
  <c r="A330" i="323"/>
  <c r="A331" i="323"/>
  <c r="A332" i="323"/>
  <c r="A333" i="323"/>
  <c r="A334" i="323"/>
  <c r="A335" i="323"/>
  <c r="A336" i="323"/>
  <c r="A337" i="323"/>
  <c r="A338" i="323"/>
  <c r="A175" i="323"/>
  <c r="C174" i="323"/>
  <c r="C24" i="272" s="1"/>
  <c r="D174" i="323"/>
  <c r="D24" i="272" s="1"/>
  <c r="E174" i="323"/>
  <c r="E24" i="272" s="1"/>
  <c r="F174" i="323"/>
  <c r="F24" i="272" s="1"/>
  <c r="G174" i="323"/>
  <c r="A162" i="323"/>
  <c r="A163" i="323"/>
  <c r="A164" i="323"/>
  <c r="A165" i="323"/>
  <c r="A166" i="323"/>
  <c r="A167" i="323"/>
  <c r="A168" i="323"/>
  <c r="A169" i="323"/>
  <c r="A170" i="323"/>
  <c r="A151" i="323"/>
  <c r="A152" i="323"/>
  <c r="A153" i="323"/>
  <c r="A154" i="323"/>
  <c r="A155" i="323"/>
  <c r="A156" i="323"/>
  <c r="A157" i="323"/>
  <c r="A158" i="323"/>
  <c r="A159" i="323"/>
  <c r="A140" i="323"/>
  <c r="A141" i="323"/>
  <c r="A142" i="323"/>
  <c r="A144" i="323"/>
  <c r="A145" i="323"/>
  <c r="A146" i="323"/>
  <c r="A147" i="323"/>
  <c r="A148" i="323"/>
  <c r="A129" i="323"/>
  <c r="A130" i="323"/>
  <c r="A131" i="323"/>
  <c r="A132" i="323"/>
  <c r="A133" i="323"/>
  <c r="A134" i="323"/>
  <c r="A135" i="323"/>
  <c r="A136" i="323"/>
  <c r="A137" i="323"/>
  <c r="A118" i="323"/>
  <c r="A119" i="323"/>
  <c r="A120" i="323"/>
  <c r="A121" i="323"/>
  <c r="A122" i="323"/>
  <c r="A123" i="323"/>
  <c r="A124" i="323"/>
  <c r="A125" i="323"/>
  <c r="A126" i="323"/>
  <c r="A107" i="323"/>
  <c r="A108" i="323"/>
  <c r="A109" i="323"/>
  <c r="A110" i="323"/>
  <c r="A111" i="323"/>
  <c r="A112" i="323"/>
  <c r="A113" i="323"/>
  <c r="A114" i="323"/>
  <c r="A115" i="323"/>
  <c r="A96" i="323"/>
  <c r="A97" i="323"/>
  <c r="A98" i="323"/>
  <c r="A99" i="323"/>
  <c r="A100" i="323"/>
  <c r="A101" i="323"/>
  <c r="A102" i="323"/>
  <c r="A103" i="323"/>
  <c r="A104" i="323"/>
  <c r="A85" i="323"/>
  <c r="A86" i="323"/>
  <c r="A87" i="323"/>
  <c r="A88" i="323"/>
  <c r="A89" i="323"/>
  <c r="A90" i="323"/>
  <c r="A91" i="323"/>
  <c r="A92" i="323"/>
  <c r="A93" i="323"/>
  <c r="A74" i="323"/>
  <c r="A75" i="323"/>
  <c r="A76" i="323"/>
  <c r="A77" i="323"/>
  <c r="A78" i="323"/>
  <c r="A79" i="323"/>
  <c r="A80" i="323"/>
  <c r="A81" i="323"/>
  <c r="A82" i="323"/>
  <c r="A63" i="323"/>
  <c r="A64" i="323"/>
  <c r="A65" i="323"/>
  <c r="A66" i="323"/>
  <c r="A67" i="323"/>
  <c r="A68" i="323"/>
  <c r="A69" i="323"/>
  <c r="A70" i="323"/>
  <c r="A71" i="323"/>
  <c r="A52" i="323"/>
  <c r="A53" i="323"/>
  <c r="A54" i="323"/>
  <c r="A55" i="323"/>
  <c r="A56" i="323"/>
  <c r="A57" i="323"/>
  <c r="A58" i="323"/>
  <c r="A59" i="323"/>
  <c r="A60" i="323"/>
  <c r="A41" i="323"/>
  <c r="A42" i="323"/>
  <c r="A43" i="323"/>
  <c r="A44" i="323"/>
  <c r="A45" i="323"/>
  <c r="A46" i="323"/>
  <c r="A47" i="323"/>
  <c r="A48" i="323"/>
  <c r="A49" i="323"/>
  <c r="A30" i="323"/>
  <c r="A31" i="323"/>
  <c r="A32" i="323"/>
  <c r="A33" i="323"/>
  <c r="A34" i="323"/>
  <c r="A35" i="323"/>
  <c r="A36" i="323"/>
  <c r="A37" i="323"/>
  <c r="A38" i="323"/>
  <c r="A19" i="323"/>
  <c r="A20" i="323"/>
  <c r="A21" i="323"/>
  <c r="A22" i="323"/>
  <c r="A23" i="323"/>
  <c r="A24" i="323"/>
  <c r="A25" i="323"/>
  <c r="A26" i="323"/>
  <c r="A27" i="323"/>
  <c r="A161" i="323"/>
  <c r="A150" i="323"/>
  <c r="A139" i="323"/>
  <c r="A128" i="323"/>
  <c r="A117" i="323"/>
  <c r="A106" i="323"/>
  <c r="A95" i="323"/>
  <c r="A84" i="323"/>
  <c r="A73" i="323"/>
  <c r="A62" i="323"/>
  <c r="A51" i="323"/>
  <c r="A40" i="323"/>
  <c r="A29" i="323"/>
  <c r="A18" i="323"/>
  <c r="A7" i="323"/>
  <c r="A8" i="323"/>
  <c r="A9" i="323"/>
  <c r="A10" i="323"/>
  <c r="A11" i="323"/>
  <c r="A12" i="323"/>
  <c r="A13" i="323"/>
  <c r="A14" i="323"/>
  <c r="A15" i="323"/>
  <c r="A16" i="323"/>
  <c r="A2" i="332"/>
  <c r="A6" i="272" s="1"/>
  <c r="A3" i="332"/>
  <c r="A18" i="324" s="1"/>
  <c r="D3" i="332"/>
  <c r="A4" i="332"/>
  <c r="A26" i="268" s="1"/>
  <c r="D4" i="332"/>
  <c r="A5" i="332"/>
  <c r="A27" i="272" s="1"/>
  <c r="D5" i="332"/>
  <c r="A6" i="332"/>
  <c r="A220" i="324" s="1"/>
  <c r="D6" i="332"/>
  <c r="A7" i="332"/>
  <c r="A29" i="268" s="1"/>
  <c r="D7" i="332"/>
  <c r="A8" i="332"/>
  <c r="A73" i="324" s="1"/>
  <c r="D8" i="332"/>
  <c r="A9" i="332"/>
  <c r="A31" i="272" s="1"/>
  <c r="D9" i="332"/>
  <c r="A10" i="332"/>
  <c r="A94" i="323" s="1"/>
  <c r="D10" i="332"/>
  <c r="A11" i="332"/>
  <c r="A33" i="268" s="1"/>
  <c r="D11" i="332"/>
  <c r="A12" i="332"/>
  <c r="A16" i="268" s="1"/>
  <c r="D12" i="332"/>
  <c r="A13" i="332"/>
  <c r="A35" i="272" s="1"/>
  <c r="A14" i="332"/>
  <c r="A138" i="323" s="1"/>
  <c r="D14" i="332"/>
  <c r="A15" i="332"/>
  <c r="A37" i="268" s="1"/>
  <c r="D15" i="332"/>
  <c r="A16" i="332"/>
  <c r="A330" i="324" s="1"/>
  <c r="D16" i="332"/>
  <c r="D17" i="332"/>
  <c r="D18" i="332"/>
  <c r="D19" i="332"/>
  <c r="D20" i="332"/>
  <c r="D21" i="332"/>
  <c r="D22" i="332"/>
  <c r="D23" i="332"/>
  <c r="D25" i="332"/>
  <c r="D26" i="332"/>
  <c r="D27" i="332"/>
  <c r="D28" i="332"/>
  <c r="D29" i="332"/>
  <c r="D30" i="332"/>
  <c r="D31" i="332"/>
  <c r="D32" i="332"/>
  <c r="D33" i="332"/>
  <c r="D34" i="332"/>
  <c r="D36" i="332"/>
  <c r="D37" i="332"/>
  <c r="D38" i="332"/>
  <c r="D39" i="332"/>
  <c r="D40" i="332"/>
  <c r="D41" i="332"/>
  <c r="D42" i="332"/>
  <c r="D43" i="332"/>
  <c r="D44" i="332"/>
  <c r="D45" i="332"/>
  <c r="D47" i="332"/>
  <c r="D48" i="332"/>
  <c r="D49" i="332"/>
  <c r="D50" i="332"/>
  <c r="D51" i="332"/>
  <c r="D52" i="332"/>
  <c r="D53" i="332"/>
  <c r="D54" i="332"/>
  <c r="D55" i="332"/>
  <c r="D56" i="332"/>
  <c r="D58" i="332"/>
  <c r="D59" i="332"/>
  <c r="D60" i="332"/>
  <c r="D61" i="332"/>
  <c r="D62" i="332"/>
  <c r="D63" i="332"/>
  <c r="D64" i="332"/>
  <c r="D65" i="332"/>
  <c r="D66" i="332"/>
  <c r="D67" i="332"/>
  <c r="D69" i="332"/>
  <c r="D70" i="332"/>
  <c r="D71" i="332"/>
  <c r="D72" i="332"/>
  <c r="D73" i="332"/>
  <c r="D74" i="332"/>
  <c r="D75" i="332"/>
  <c r="D76" i="332"/>
  <c r="D77" i="332"/>
  <c r="D78" i="332"/>
  <c r="D80" i="332"/>
  <c r="D81" i="332"/>
  <c r="D82" i="332"/>
  <c r="D83" i="332"/>
  <c r="D84" i="332"/>
  <c r="D85" i="332"/>
  <c r="D86" i="332"/>
  <c r="D87" i="332"/>
  <c r="D88" i="332"/>
  <c r="D89" i="332"/>
  <c r="D91" i="332"/>
  <c r="D92" i="332"/>
  <c r="D93" i="332"/>
  <c r="D94" i="332"/>
  <c r="D95" i="332"/>
  <c r="D96" i="332"/>
  <c r="D97" i="332"/>
  <c r="D98" i="332"/>
  <c r="D99" i="332"/>
  <c r="D100" i="332"/>
  <c r="D102" i="332"/>
  <c r="D103" i="332"/>
  <c r="D104" i="332"/>
  <c r="D105" i="332"/>
  <c r="D106" i="332"/>
  <c r="D107" i="332"/>
  <c r="D108" i="332"/>
  <c r="D109" i="332"/>
  <c r="D110" i="332"/>
  <c r="D111" i="332"/>
  <c r="D113" i="332"/>
  <c r="D114" i="332"/>
  <c r="D115" i="332"/>
  <c r="D116" i="332"/>
  <c r="D117" i="332"/>
  <c r="D118" i="332"/>
  <c r="D119" i="332"/>
  <c r="D120" i="332"/>
  <c r="D121" i="332"/>
  <c r="D122" i="332"/>
  <c r="D124" i="332"/>
  <c r="D125" i="332"/>
  <c r="D126" i="332"/>
  <c r="D127" i="332"/>
  <c r="D128" i="332"/>
  <c r="D129" i="332"/>
  <c r="D130" i="332"/>
  <c r="D131" i="332"/>
  <c r="D132" i="332"/>
  <c r="D133" i="332"/>
  <c r="D135" i="332"/>
  <c r="D136" i="332"/>
  <c r="D137" i="332"/>
  <c r="D138" i="332"/>
  <c r="D139" i="332"/>
  <c r="D140" i="332"/>
  <c r="D141" i="332"/>
  <c r="D142" i="332"/>
  <c r="D143" i="332"/>
  <c r="D144" i="332"/>
  <c r="D146" i="332"/>
  <c r="D147" i="332"/>
  <c r="D148" i="332"/>
  <c r="D149" i="332"/>
  <c r="D150" i="332"/>
  <c r="D151" i="332"/>
  <c r="D152" i="332"/>
  <c r="D153" i="332"/>
  <c r="D154" i="332"/>
  <c r="D155" i="332"/>
  <c r="D157" i="332"/>
  <c r="D158" i="332"/>
  <c r="D159" i="332"/>
  <c r="D160" i="332"/>
  <c r="D161" i="332"/>
  <c r="D162" i="332"/>
  <c r="D163" i="332"/>
  <c r="D164" i="332"/>
  <c r="D165" i="332"/>
  <c r="D166" i="332"/>
  <c r="H54" i="174"/>
  <c r="G54" i="174"/>
  <c r="D54" i="174"/>
  <c r="H51" i="238"/>
  <c r="F51" i="238"/>
  <c r="F63" i="238" s="1"/>
  <c r="I51" i="238"/>
  <c r="H57" i="268"/>
  <c r="G57" i="268"/>
  <c r="F57" i="268"/>
  <c r="E57" i="268"/>
  <c r="D57" i="268"/>
  <c r="C57" i="268"/>
  <c r="C119" i="330"/>
  <c r="C25" i="241" s="1"/>
  <c r="F12" i="267"/>
  <c r="F13" i="267"/>
  <c r="F14" i="267"/>
  <c r="F15" i="267"/>
  <c r="F16" i="267"/>
  <c r="F17" i="267"/>
  <c r="E12" i="267"/>
  <c r="E13" i="267"/>
  <c r="E14" i="267"/>
  <c r="E15" i="267"/>
  <c r="E16" i="267"/>
  <c r="E17" i="267"/>
  <c r="D12" i="267"/>
  <c r="D13" i="267"/>
  <c r="D14" i="267"/>
  <c r="D15" i="267"/>
  <c r="D16" i="267"/>
  <c r="D17" i="267"/>
  <c r="C12" i="267"/>
  <c r="C13" i="267"/>
  <c r="C14" i="267"/>
  <c r="C15" i="267"/>
  <c r="C16" i="267"/>
  <c r="C17" i="267"/>
  <c r="B12" i="267"/>
  <c r="B13" i="267"/>
  <c r="B14" i="267"/>
  <c r="B15" i="267"/>
  <c r="B16" i="267"/>
  <c r="B17" i="267"/>
  <c r="C57" i="270"/>
  <c r="C47" i="270"/>
  <c r="C31" i="270"/>
  <c r="H18" i="177"/>
  <c r="G43" i="267" s="1"/>
  <c r="I66" i="268"/>
  <c r="J66" i="268" s="1"/>
  <c r="K240" i="323"/>
  <c r="K30" i="272" s="1"/>
  <c r="K251" i="323"/>
  <c r="K31" i="272" s="1"/>
  <c r="K262" i="323"/>
  <c r="K32" i="272" s="1"/>
  <c r="K273" i="323"/>
  <c r="K33" i="272" s="1"/>
  <c r="K284" i="323"/>
  <c r="K34" i="272" s="1"/>
  <c r="K295" i="323"/>
  <c r="K35" i="272" s="1"/>
  <c r="K306" i="323"/>
  <c r="K36" i="272" s="1"/>
  <c r="K317" i="323"/>
  <c r="K37" i="272" s="1"/>
  <c r="K328" i="323"/>
  <c r="K38" i="272" s="1"/>
  <c r="H240" i="323"/>
  <c r="H30" i="272" s="1"/>
  <c r="H251" i="323"/>
  <c r="H31" i="272" s="1"/>
  <c r="H262" i="323"/>
  <c r="H32" i="272" s="1"/>
  <c r="H273" i="323"/>
  <c r="H33" i="272" s="1"/>
  <c r="H284" i="323"/>
  <c r="H295" i="323"/>
  <c r="H35" i="272" s="1"/>
  <c r="H306" i="323"/>
  <c r="H36" i="272" s="1"/>
  <c r="H317" i="323"/>
  <c r="H37" i="272" s="1"/>
  <c r="H328" i="323"/>
  <c r="G185" i="323"/>
  <c r="G25" i="272" s="1"/>
  <c r="G196" i="323"/>
  <c r="G26" i="272" s="1"/>
  <c r="G207" i="323"/>
  <c r="G27" i="272" s="1"/>
  <c r="G218" i="323"/>
  <c r="G28" i="272" s="1"/>
  <c r="G229" i="323"/>
  <c r="G29" i="272" s="1"/>
  <c r="G240" i="323"/>
  <c r="G30" i="272" s="1"/>
  <c r="G251" i="323"/>
  <c r="G31" i="272" s="1"/>
  <c r="G262" i="323"/>
  <c r="G32" i="272" s="1"/>
  <c r="G273" i="323"/>
  <c r="I273" i="323" s="1"/>
  <c r="J273" i="323" s="1"/>
  <c r="G284" i="323"/>
  <c r="G34" i="272" s="1"/>
  <c r="G295" i="323"/>
  <c r="G35" i="272" s="1"/>
  <c r="G306" i="323"/>
  <c r="G36" i="272" s="1"/>
  <c r="G317" i="323"/>
  <c r="G37" i="272" s="1"/>
  <c r="G328" i="323"/>
  <c r="G38" i="272" s="1"/>
  <c r="F185" i="323"/>
  <c r="F25" i="272" s="1"/>
  <c r="F196" i="323"/>
  <c r="F26" i="272" s="1"/>
  <c r="F207" i="323"/>
  <c r="F27" i="272" s="1"/>
  <c r="F218" i="323"/>
  <c r="F28" i="272" s="1"/>
  <c r="F229" i="323"/>
  <c r="F29" i="272" s="1"/>
  <c r="F240" i="323"/>
  <c r="F30" i="272" s="1"/>
  <c r="F251" i="323"/>
  <c r="F31" i="272" s="1"/>
  <c r="F262" i="323"/>
  <c r="F32" i="272" s="1"/>
  <c r="F273" i="323"/>
  <c r="F33" i="272" s="1"/>
  <c r="F284" i="323"/>
  <c r="F34" i="272" s="1"/>
  <c r="F295" i="323"/>
  <c r="F35" i="272" s="1"/>
  <c r="F306" i="323"/>
  <c r="F36" i="272" s="1"/>
  <c r="F317" i="323"/>
  <c r="F37" i="272" s="1"/>
  <c r="F328" i="323"/>
  <c r="F38" i="272" s="1"/>
  <c r="E185" i="323"/>
  <c r="E25" i="272" s="1"/>
  <c r="E196" i="323"/>
  <c r="E26" i="272" s="1"/>
  <c r="E207" i="323"/>
  <c r="E27" i="272" s="1"/>
  <c r="E218" i="323"/>
  <c r="E28" i="272" s="1"/>
  <c r="E229" i="323"/>
  <c r="E29" i="272" s="1"/>
  <c r="E240" i="323"/>
  <c r="E30" i="272" s="1"/>
  <c r="E251" i="323"/>
  <c r="E31" i="272" s="1"/>
  <c r="E262" i="323"/>
  <c r="E32" i="272" s="1"/>
  <c r="E273" i="323"/>
  <c r="E33" i="272" s="1"/>
  <c r="E284" i="323"/>
  <c r="E34" i="272" s="1"/>
  <c r="E295" i="323"/>
  <c r="E35" i="272" s="1"/>
  <c r="E306" i="323"/>
  <c r="E36" i="272" s="1"/>
  <c r="E317" i="323"/>
  <c r="E37" i="272" s="1"/>
  <c r="E328" i="323"/>
  <c r="E38" i="272" s="1"/>
  <c r="D185" i="323"/>
  <c r="D25" i="272" s="1"/>
  <c r="D196" i="323"/>
  <c r="D26" i="272" s="1"/>
  <c r="D207" i="323"/>
  <c r="D27" i="272" s="1"/>
  <c r="D218" i="323"/>
  <c r="D28" i="272" s="1"/>
  <c r="D229" i="323"/>
  <c r="D29" i="272" s="1"/>
  <c r="D240" i="323"/>
  <c r="D30" i="272" s="1"/>
  <c r="D251" i="323"/>
  <c r="D31" i="272" s="1"/>
  <c r="D262" i="323"/>
  <c r="D32" i="272" s="1"/>
  <c r="D273" i="323"/>
  <c r="D33" i="272" s="1"/>
  <c r="D284" i="323"/>
  <c r="D34" i="272" s="1"/>
  <c r="D295" i="323"/>
  <c r="D35" i="272" s="1"/>
  <c r="D306" i="323"/>
  <c r="D36" i="272" s="1"/>
  <c r="D317" i="323"/>
  <c r="D37" i="272" s="1"/>
  <c r="D328" i="323"/>
  <c r="D38" i="272" s="1"/>
  <c r="C185" i="323"/>
  <c r="C25" i="272" s="1"/>
  <c r="C196" i="323"/>
  <c r="C26" i="272" s="1"/>
  <c r="C207" i="323"/>
  <c r="C27" i="272" s="1"/>
  <c r="C218" i="323"/>
  <c r="C28" i="272" s="1"/>
  <c r="C229" i="323"/>
  <c r="C29" i="272" s="1"/>
  <c r="C240" i="323"/>
  <c r="C30" i="272" s="1"/>
  <c r="C251" i="323"/>
  <c r="C31" i="272" s="1"/>
  <c r="C262" i="323"/>
  <c r="C32" i="272" s="1"/>
  <c r="C273" i="323"/>
  <c r="C33" i="272" s="1"/>
  <c r="C284" i="323"/>
  <c r="C34" i="272" s="1"/>
  <c r="C295" i="323"/>
  <c r="C35" i="272" s="1"/>
  <c r="C306" i="323"/>
  <c r="C36" i="272" s="1"/>
  <c r="C317" i="323"/>
  <c r="C37" i="272" s="1"/>
  <c r="C328" i="323"/>
  <c r="C38" i="272" s="1"/>
  <c r="D28" i="177"/>
  <c r="C44" i="267" s="1"/>
  <c r="D18" i="177"/>
  <c r="K330" i="324"/>
  <c r="K38" i="268" s="1"/>
  <c r="K319" i="324"/>
  <c r="K37" i="268" s="1"/>
  <c r="K308" i="324"/>
  <c r="K36" i="268" s="1"/>
  <c r="K297" i="324"/>
  <c r="K35" i="268" s="1"/>
  <c r="K286" i="324"/>
  <c r="K34" i="268" s="1"/>
  <c r="K275" i="324"/>
  <c r="K33" i="268" s="1"/>
  <c r="K264" i="324"/>
  <c r="K32" i="268" s="1"/>
  <c r="K253" i="324"/>
  <c r="K31" i="268" s="1"/>
  <c r="K242" i="324"/>
  <c r="K30" i="268" s="1"/>
  <c r="G330" i="324"/>
  <c r="H330" i="324"/>
  <c r="H38" i="268" s="1"/>
  <c r="F330" i="324"/>
  <c r="F38" i="268" s="1"/>
  <c r="E330" i="324"/>
  <c r="E38" i="268" s="1"/>
  <c r="D330" i="324"/>
  <c r="D38" i="268" s="1"/>
  <c r="G319" i="324"/>
  <c r="G37" i="268" s="1"/>
  <c r="H319" i="324"/>
  <c r="H37" i="268" s="1"/>
  <c r="F319" i="324"/>
  <c r="F37" i="268" s="1"/>
  <c r="E319" i="324"/>
  <c r="E37" i="268" s="1"/>
  <c r="D319" i="324"/>
  <c r="D37" i="268" s="1"/>
  <c r="G308" i="324"/>
  <c r="G36" i="268" s="1"/>
  <c r="H308" i="324"/>
  <c r="H36" i="268" s="1"/>
  <c r="F308" i="324"/>
  <c r="F36" i="268" s="1"/>
  <c r="E308" i="324"/>
  <c r="E36" i="268" s="1"/>
  <c r="D308" i="324"/>
  <c r="D36" i="268" s="1"/>
  <c r="G297" i="324"/>
  <c r="G35" i="268" s="1"/>
  <c r="H297" i="324"/>
  <c r="H35" i="268" s="1"/>
  <c r="F297" i="324"/>
  <c r="F35" i="268" s="1"/>
  <c r="E297" i="324"/>
  <c r="E35" i="268" s="1"/>
  <c r="D297" i="324"/>
  <c r="D35" i="268" s="1"/>
  <c r="G286" i="324"/>
  <c r="G34" i="268" s="1"/>
  <c r="H286" i="324"/>
  <c r="H34" i="268" s="1"/>
  <c r="F286" i="324"/>
  <c r="F34" i="268" s="1"/>
  <c r="E286" i="324"/>
  <c r="E34" i="268" s="1"/>
  <c r="D286" i="324"/>
  <c r="D34" i="268" s="1"/>
  <c r="G275" i="324"/>
  <c r="G33" i="268" s="1"/>
  <c r="H275" i="324"/>
  <c r="H33" i="268" s="1"/>
  <c r="F275" i="324"/>
  <c r="F33" i="268" s="1"/>
  <c r="E275" i="324"/>
  <c r="E33" i="268" s="1"/>
  <c r="D275" i="324"/>
  <c r="D33" i="268" s="1"/>
  <c r="G264" i="324"/>
  <c r="H264" i="324"/>
  <c r="H32" i="268" s="1"/>
  <c r="F264" i="324"/>
  <c r="F32" i="268" s="1"/>
  <c r="E264" i="324"/>
  <c r="E32" i="268" s="1"/>
  <c r="D264" i="324"/>
  <c r="D32" i="268" s="1"/>
  <c r="G253" i="324"/>
  <c r="G31" i="268" s="1"/>
  <c r="H253" i="324"/>
  <c r="H31" i="268" s="1"/>
  <c r="F253" i="324"/>
  <c r="F31" i="268" s="1"/>
  <c r="E253" i="324"/>
  <c r="E31" i="268" s="1"/>
  <c r="D253" i="324"/>
  <c r="D31" i="268" s="1"/>
  <c r="G242" i="324"/>
  <c r="G30" i="268" s="1"/>
  <c r="H242" i="324"/>
  <c r="H30" i="268" s="1"/>
  <c r="F242" i="324"/>
  <c r="F30" i="268" s="1"/>
  <c r="E242" i="324"/>
  <c r="E30" i="268" s="1"/>
  <c r="D242" i="324"/>
  <c r="D30" i="268" s="1"/>
  <c r="G231" i="324"/>
  <c r="G29" i="268" s="1"/>
  <c r="H231" i="324"/>
  <c r="F231" i="324"/>
  <c r="F29" i="268" s="1"/>
  <c r="E231" i="324"/>
  <c r="E29" i="268" s="1"/>
  <c r="D231" i="324"/>
  <c r="D29" i="268" s="1"/>
  <c r="G220" i="324"/>
  <c r="H220" i="324"/>
  <c r="H28" i="268" s="1"/>
  <c r="F220" i="324"/>
  <c r="F28" i="268" s="1"/>
  <c r="E220" i="324"/>
  <c r="E28" i="268" s="1"/>
  <c r="D220" i="324"/>
  <c r="D28" i="268" s="1"/>
  <c r="G209" i="324"/>
  <c r="H209" i="324"/>
  <c r="H27" i="268" s="1"/>
  <c r="F209" i="324"/>
  <c r="F27" i="268" s="1"/>
  <c r="D209" i="324"/>
  <c r="D27" i="268" s="1"/>
  <c r="G198" i="324"/>
  <c r="G26" i="268" s="1"/>
  <c r="H198" i="324"/>
  <c r="F198" i="324"/>
  <c r="F26" i="268" s="1"/>
  <c r="E26" i="268"/>
  <c r="D198" i="324"/>
  <c r="D26" i="268" s="1"/>
  <c r="G187" i="324"/>
  <c r="G25" i="268" s="1"/>
  <c r="H187" i="324"/>
  <c r="H25" i="268" s="1"/>
  <c r="F187" i="324"/>
  <c r="F25" i="268" s="1"/>
  <c r="D187" i="324"/>
  <c r="D25" i="268" s="1"/>
  <c r="G176" i="324"/>
  <c r="G24" i="268" s="1"/>
  <c r="H176" i="324"/>
  <c r="H24" i="268" s="1"/>
  <c r="F176" i="324"/>
  <c r="F24" i="268" s="1"/>
  <c r="E176" i="324"/>
  <c r="E24" i="268" s="1"/>
  <c r="D176" i="324"/>
  <c r="D24" i="268" s="1"/>
  <c r="C319" i="324"/>
  <c r="C37" i="268" s="1"/>
  <c r="C308" i="324"/>
  <c r="C36" i="268" s="1"/>
  <c r="C297" i="324"/>
  <c r="C35" i="268" s="1"/>
  <c r="C286" i="324"/>
  <c r="C34" i="268" s="1"/>
  <c r="C275" i="324"/>
  <c r="C33" i="268" s="1"/>
  <c r="C176" i="324"/>
  <c r="C24" i="268" s="1"/>
  <c r="C330" i="324"/>
  <c r="C38" i="268" s="1"/>
  <c r="C264" i="324"/>
  <c r="C32" i="268" s="1"/>
  <c r="C253" i="324"/>
  <c r="C31" i="268" s="1"/>
  <c r="C242" i="324"/>
  <c r="C30" i="268" s="1"/>
  <c r="C231" i="324"/>
  <c r="C29" i="268" s="1"/>
  <c r="C220" i="324"/>
  <c r="C28" i="268" s="1"/>
  <c r="C209" i="324"/>
  <c r="C27" i="268" s="1"/>
  <c r="C198" i="324"/>
  <c r="C26" i="268" s="1"/>
  <c r="C187" i="324"/>
  <c r="C25" i="268" s="1"/>
  <c r="K161" i="324"/>
  <c r="K20" i="268" s="1"/>
  <c r="K150" i="324"/>
  <c r="K19" i="268" s="1"/>
  <c r="K139" i="324"/>
  <c r="K18" i="268" s="1"/>
  <c r="K128" i="324"/>
  <c r="K17" i="268" s="1"/>
  <c r="K117" i="324"/>
  <c r="K16" i="268" s="1"/>
  <c r="K106" i="324"/>
  <c r="K15" i="268" s="1"/>
  <c r="K95" i="324"/>
  <c r="K14" i="268" s="1"/>
  <c r="K84" i="324"/>
  <c r="K13" i="268" s="1"/>
  <c r="K73" i="324"/>
  <c r="K12" i="268" s="1"/>
  <c r="H161" i="324"/>
  <c r="G161" i="324"/>
  <c r="G20" i="268" s="1"/>
  <c r="F161" i="324"/>
  <c r="F20" i="268" s="1"/>
  <c r="E161" i="324"/>
  <c r="E20" i="268" s="1"/>
  <c r="D161" i="324"/>
  <c r="D20" i="268" s="1"/>
  <c r="H150" i="324"/>
  <c r="H19" i="268" s="1"/>
  <c r="G150" i="324"/>
  <c r="G19" i="268" s="1"/>
  <c r="F150" i="324"/>
  <c r="F19" i="268" s="1"/>
  <c r="E150" i="324"/>
  <c r="E19" i="268" s="1"/>
  <c r="D150" i="324"/>
  <c r="D19" i="268" s="1"/>
  <c r="H139" i="324"/>
  <c r="H18" i="268" s="1"/>
  <c r="G139" i="324"/>
  <c r="G18" i="268" s="1"/>
  <c r="F139" i="324"/>
  <c r="F18" i="268" s="1"/>
  <c r="E139" i="324"/>
  <c r="E18" i="268" s="1"/>
  <c r="D139" i="324"/>
  <c r="D18" i="268" s="1"/>
  <c r="H128" i="324"/>
  <c r="H17" i="268" s="1"/>
  <c r="G128" i="324"/>
  <c r="G17" i="268" s="1"/>
  <c r="F128" i="324"/>
  <c r="F17" i="268" s="1"/>
  <c r="E128" i="324"/>
  <c r="E17" i="268" s="1"/>
  <c r="D128" i="324"/>
  <c r="D17" i="268" s="1"/>
  <c r="H117" i="324"/>
  <c r="H16" i="268" s="1"/>
  <c r="G117" i="324"/>
  <c r="G16" i="268" s="1"/>
  <c r="F117" i="324"/>
  <c r="F16" i="268" s="1"/>
  <c r="E117" i="324"/>
  <c r="E16" i="268" s="1"/>
  <c r="D117" i="324"/>
  <c r="D16" i="268" s="1"/>
  <c r="H106" i="324"/>
  <c r="H15" i="268" s="1"/>
  <c r="G106" i="324"/>
  <c r="G15" i="268" s="1"/>
  <c r="F106" i="324"/>
  <c r="F15" i="268" s="1"/>
  <c r="E106" i="324"/>
  <c r="E15" i="268" s="1"/>
  <c r="D106" i="324"/>
  <c r="D15" i="268" s="1"/>
  <c r="H95" i="324"/>
  <c r="H14" i="268" s="1"/>
  <c r="G95" i="324"/>
  <c r="G14" i="268" s="1"/>
  <c r="F95" i="324"/>
  <c r="F14" i="268" s="1"/>
  <c r="E95" i="324"/>
  <c r="E14" i="268" s="1"/>
  <c r="D95" i="324"/>
  <c r="D14" i="268" s="1"/>
  <c r="H84" i="324"/>
  <c r="G84" i="324"/>
  <c r="G13" i="268" s="1"/>
  <c r="F84" i="324"/>
  <c r="F13" i="268" s="1"/>
  <c r="E84" i="324"/>
  <c r="E13" i="268" s="1"/>
  <c r="D84" i="324"/>
  <c r="D13" i="268" s="1"/>
  <c r="H73" i="324"/>
  <c r="H12" i="268" s="1"/>
  <c r="G73" i="324"/>
  <c r="G12" i="268" s="1"/>
  <c r="F73" i="324"/>
  <c r="F12" i="268" s="1"/>
  <c r="E73" i="324"/>
  <c r="E12" i="268" s="1"/>
  <c r="D73" i="324"/>
  <c r="D12" i="268" s="1"/>
  <c r="H62" i="324"/>
  <c r="H11" i="268" s="1"/>
  <c r="G62" i="324"/>
  <c r="F62" i="324"/>
  <c r="F11" i="268" s="1"/>
  <c r="E62" i="324"/>
  <c r="E11" i="268" s="1"/>
  <c r="D62" i="324"/>
  <c r="D11" i="268" s="1"/>
  <c r="H51" i="324"/>
  <c r="G51" i="324"/>
  <c r="G10" i="268" s="1"/>
  <c r="F51" i="324"/>
  <c r="F10" i="268" s="1"/>
  <c r="E51" i="324"/>
  <c r="E10" i="268" s="1"/>
  <c r="D51" i="324"/>
  <c r="D10" i="268" s="1"/>
  <c r="H40" i="324"/>
  <c r="H9" i="268" s="1"/>
  <c r="G40" i="324"/>
  <c r="G9" i="268" s="1"/>
  <c r="F40" i="324"/>
  <c r="F9" i="268" s="1"/>
  <c r="E40" i="324"/>
  <c r="E9" i="268" s="1"/>
  <c r="D40" i="324"/>
  <c r="D9" i="268" s="1"/>
  <c r="H29" i="324"/>
  <c r="H8" i="268" s="1"/>
  <c r="G29" i="324"/>
  <c r="G8" i="268" s="1"/>
  <c r="F29" i="324"/>
  <c r="F8" i="268" s="1"/>
  <c r="E29" i="324"/>
  <c r="E8" i="268" s="1"/>
  <c r="D29" i="324"/>
  <c r="D8" i="268" s="1"/>
  <c r="H18" i="324"/>
  <c r="H7" i="268" s="1"/>
  <c r="G18" i="324"/>
  <c r="G7" i="268" s="1"/>
  <c r="F18" i="324"/>
  <c r="F7" i="268" s="1"/>
  <c r="E18" i="324"/>
  <c r="E7" i="268" s="1"/>
  <c r="D18" i="324"/>
  <c r="D7" i="268" s="1"/>
  <c r="H7" i="324"/>
  <c r="H6" i="268" s="1"/>
  <c r="G7" i="324"/>
  <c r="G6" i="268" s="1"/>
  <c r="F7" i="324"/>
  <c r="F6" i="268" s="1"/>
  <c r="E7" i="324"/>
  <c r="E6" i="268" s="1"/>
  <c r="D7" i="324"/>
  <c r="D6" i="268" s="1"/>
  <c r="C161" i="324"/>
  <c r="C20" i="268" s="1"/>
  <c r="C150" i="324"/>
  <c r="C19" i="268" s="1"/>
  <c r="C139" i="324"/>
  <c r="C18" i="268" s="1"/>
  <c r="C128" i="324"/>
  <c r="C17" i="268" s="1"/>
  <c r="C117" i="324"/>
  <c r="C16" i="268" s="1"/>
  <c r="C106" i="324"/>
  <c r="C15" i="268" s="1"/>
  <c r="C95" i="324"/>
  <c r="C14" i="268" s="1"/>
  <c r="C84" i="324"/>
  <c r="C13" i="268" s="1"/>
  <c r="C73" i="324"/>
  <c r="C12" i="268" s="1"/>
  <c r="C62" i="324"/>
  <c r="C11" i="268" s="1"/>
  <c r="C51" i="324"/>
  <c r="C10" i="268" s="1"/>
  <c r="C40" i="324"/>
  <c r="C9" i="268" s="1"/>
  <c r="C29" i="324"/>
  <c r="C8" i="268" s="1"/>
  <c r="C18" i="324"/>
  <c r="C7" i="268" s="1"/>
  <c r="C7" i="324"/>
  <c r="C6" i="268" s="1"/>
  <c r="D70" i="268"/>
  <c r="C29" i="267" s="1"/>
  <c r="E70" i="268"/>
  <c r="E74" i="268" s="1"/>
  <c r="F70" i="268"/>
  <c r="F74" i="268" s="1"/>
  <c r="G70" i="268"/>
  <c r="F29" i="267" s="1"/>
  <c r="H70" i="268"/>
  <c r="G29" i="267" s="1"/>
  <c r="C70" i="268"/>
  <c r="B29" i="267" s="1"/>
  <c r="A75" i="100"/>
  <c r="C18" i="177"/>
  <c r="B43" i="267" s="1"/>
  <c r="I137" i="242"/>
  <c r="J137" i="242" s="1"/>
  <c r="K160" i="323"/>
  <c r="K20" i="272" s="1"/>
  <c r="K149" i="323"/>
  <c r="K19" i="272" s="1"/>
  <c r="K138" i="323"/>
  <c r="K18" i="272" s="1"/>
  <c r="K127" i="323"/>
  <c r="K17" i="272" s="1"/>
  <c r="K116" i="323"/>
  <c r="K16" i="272" s="1"/>
  <c r="K105" i="323"/>
  <c r="K15" i="272" s="1"/>
  <c r="K94" i="323"/>
  <c r="K14" i="272" s="1"/>
  <c r="G105" i="323"/>
  <c r="G15" i="272" s="1"/>
  <c r="H105" i="323"/>
  <c r="H15" i="272" s="1"/>
  <c r="G116" i="323"/>
  <c r="G16" i="272" s="1"/>
  <c r="H116" i="323"/>
  <c r="H16" i="272" s="1"/>
  <c r="G127" i="323"/>
  <c r="G17" i="272" s="1"/>
  <c r="H127" i="323"/>
  <c r="H17" i="272" s="1"/>
  <c r="G138" i="323"/>
  <c r="G18" i="272" s="1"/>
  <c r="H138" i="323"/>
  <c r="H18" i="272" s="1"/>
  <c r="G149" i="323"/>
  <c r="G19" i="272" s="1"/>
  <c r="H149" i="323"/>
  <c r="H19" i="272" s="1"/>
  <c r="G160" i="323"/>
  <c r="G20" i="272" s="1"/>
  <c r="H160" i="323"/>
  <c r="H20" i="272" s="1"/>
  <c r="F160" i="323"/>
  <c r="F20" i="272" s="1"/>
  <c r="E160" i="323"/>
  <c r="E20" i="272" s="1"/>
  <c r="D160" i="323"/>
  <c r="D20" i="272" s="1"/>
  <c r="F149" i="323"/>
  <c r="F19" i="272" s="1"/>
  <c r="E149" i="323"/>
  <c r="E19" i="272" s="1"/>
  <c r="D149" i="323"/>
  <c r="D19" i="272" s="1"/>
  <c r="F138" i="323"/>
  <c r="F18" i="272" s="1"/>
  <c r="E138" i="323"/>
  <c r="E18" i="272" s="1"/>
  <c r="D138" i="323"/>
  <c r="D18" i="272" s="1"/>
  <c r="F127" i="323"/>
  <c r="F17" i="272" s="1"/>
  <c r="E127" i="323"/>
  <c r="E17" i="272" s="1"/>
  <c r="D127" i="323"/>
  <c r="D17" i="272" s="1"/>
  <c r="F116" i="323"/>
  <c r="F16" i="272" s="1"/>
  <c r="E116" i="323"/>
  <c r="E16" i="272" s="1"/>
  <c r="D116" i="323"/>
  <c r="D16" i="272" s="1"/>
  <c r="F105" i="323"/>
  <c r="F15" i="272" s="1"/>
  <c r="E105" i="323"/>
  <c r="E15" i="272" s="1"/>
  <c r="D105" i="323"/>
  <c r="D15" i="272" s="1"/>
  <c r="C160" i="323"/>
  <c r="C20" i="272" s="1"/>
  <c r="C149" i="323"/>
  <c r="C19" i="272" s="1"/>
  <c r="C138" i="323"/>
  <c r="C18" i="272" s="1"/>
  <c r="C127" i="323"/>
  <c r="C17" i="272" s="1"/>
  <c r="C116" i="323"/>
  <c r="C16" i="272" s="1"/>
  <c r="X36" i="329"/>
  <c r="F77" i="100"/>
  <c r="B27" i="322"/>
  <c r="B73" i="100" s="1"/>
  <c r="C25" i="330"/>
  <c r="C9" i="241" s="1"/>
  <c r="G25" i="330"/>
  <c r="G9" i="241" s="1"/>
  <c r="G86" i="330"/>
  <c r="G18" i="241" s="1"/>
  <c r="G93" i="330"/>
  <c r="G19" i="241" s="1"/>
  <c r="G101" i="330"/>
  <c r="G21" i="241" s="1"/>
  <c r="G105" i="330"/>
  <c r="G22" i="241" s="1"/>
  <c r="G109" i="330"/>
  <c r="G23" i="241" s="1"/>
  <c r="G119" i="330"/>
  <c r="G25" i="241" s="1"/>
  <c r="G130" i="330"/>
  <c r="G30" i="241" s="1"/>
  <c r="G179" i="330"/>
  <c r="G36" i="241" s="1"/>
  <c r="G189" i="330"/>
  <c r="G198" i="330"/>
  <c r="G40" i="241" s="1"/>
  <c r="G209" i="330"/>
  <c r="G41" i="241" s="1"/>
  <c r="G216" i="330"/>
  <c r="G42" i="241" s="1"/>
  <c r="G224" i="330"/>
  <c r="G228" i="330"/>
  <c r="G45" i="241" s="1"/>
  <c r="G232" i="330"/>
  <c r="G46" i="241" s="1"/>
  <c r="G242" i="330"/>
  <c r="G48" i="241" s="1"/>
  <c r="F25" i="330"/>
  <c r="F9" i="241" s="1"/>
  <c r="F86" i="330"/>
  <c r="F93" i="330"/>
  <c r="F19" i="241" s="1"/>
  <c r="F101" i="330"/>
  <c r="F21" i="241" s="1"/>
  <c r="F105" i="330"/>
  <c r="F22" i="241" s="1"/>
  <c r="F109" i="330"/>
  <c r="F23" i="241" s="1"/>
  <c r="F119" i="330"/>
  <c r="F25" i="241" s="1"/>
  <c r="F130" i="330"/>
  <c r="F30" i="241" s="1"/>
  <c r="F179" i="330"/>
  <c r="F36" i="241" s="1"/>
  <c r="F189" i="330"/>
  <c r="F38" i="241" s="1"/>
  <c r="F198" i="330"/>
  <c r="F40" i="241" s="1"/>
  <c r="F209" i="330"/>
  <c r="F41" i="241" s="1"/>
  <c r="F216" i="330"/>
  <c r="F42" i="241" s="1"/>
  <c r="F224" i="330"/>
  <c r="F44" i="241" s="1"/>
  <c r="F228" i="330"/>
  <c r="F45" i="241" s="1"/>
  <c r="F232" i="330"/>
  <c r="F46" i="241" s="1"/>
  <c r="F242" i="330"/>
  <c r="F48" i="241" s="1"/>
  <c r="E7" i="330"/>
  <c r="E25" i="330"/>
  <c r="E9" i="241" s="1"/>
  <c r="E86" i="330"/>
  <c r="E18" i="241" s="1"/>
  <c r="E93" i="330"/>
  <c r="E19" i="241" s="1"/>
  <c r="E101" i="330"/>
  <c r="E105" i="330"/>
  <c r="E22" i="241" s="1"/>
  <c r="E109" i="330"/>
  <c r="E23" i="241" s="1"/>
  <c r="E119" i="330"/>
  <c r="E25" i="241" s="1"/>
  <c r="E130" i="330"/>
  <c r="E30" i="241" s="1"/>
  <c r="E179" i="330"/>
  <c r="E36" i="241" s="1"/>
  <c r="E189" i="330"/>
  <c r="E38" i="241" s="1"/>
  <c r="E198" i="330"/>
  <c r="E40" i="241" s="1"/>
  <c r="E209" i="330"/>
  <c r="E41" i="241" s="1"/>
  <c r="E216" i="330"/>
  <c r="E42" i="241" s="1"/>
  <c r="E224" i="330"/>
  <c r="E44" i="241" s="1"/>
  <c r="E228" i="330"/>
  <c r="E45" i="241" s="1"/>
  <c r="E232" i="330"/>
  <c r="E46" i="241" s="1"/>
  <c r="E242" i="330"/>
  <c r="E48" i="241" s="1"/>
  <c r="D7" i="330"/>
  <c r="D7" i="241" s="1"/>
  <c r="D25" i="330"/>
  <c r="D9" i="241" s="1"/>
  <c r="D86" i="330"/>
  <c r="D93" i="330"/>
  <c r="D19" i="241" s="1"/>
  <c r="D101" i="330"/>
  <c r="D21" i="241" s="1"/>
  <c r="D105" i="330"/>
  <c r="D109" i="330"/>
  <c r="D23" i="241" s="1"/>
  <c r="D119" i="330"/>
  <c r="D25" i="241" s="1"/>
  <c r="D130" i="330"/>
  <c r="D30" i="241" s="1"/>
  <c r="D179" i="330"/>
  <c r="D36" i="241" s="1"/>
  <c r="D33" i="241" s="1"/>
  <c r="D189" i="330"/>
  <c r="D38" i="241" s="1"/>
  <c r="D198" i="330"/>
  <c r="D40" i="241" s="1"/>
  <c r="D209" i="330"/>
  <c r="D216" i="330"/>
  <c r="D42" i="241" s="1"/>
  <c r="D224" i="330"/>
  <c r="D228" i="330"/>
  <c r="D45" i="241" s="1"/>
  <c r="D232" i="330"/>
  <c r="D46" i="241" s="1"/>
  <c r="D242" i="330"/>
  <c r="D48" i="241" s="1"/>
  <c r="C216" i="330"/>
  <c r="C42" i="241" s="1"/>
  <c r="K3" i="330"/>
  <c r="J3" i="330"/>
  <c r="I3" i="330"/>
  <c r="H3" i="330"/>
  <c r="G3" i="330"/>
  <c r="F3" i="330"/>
  <c r="E3" i="330"/>
  <c r="D3" i="330"/>
  <c r="C3" i="330"/>
  <c r="E5" i="322"/>
  <c r="E2" i="322"/>
  <c r="B2" i="330"/>
  <c r="A2" i="330"/>
  <c r="A251" i="330"/>
  <c r="A250" i="330"/>
  <c r="A249" i="330"/>
  <c r="A248" i="330"/>
  <c r="A247" i="330"/>
  <c r="A246" i="330"/>
  <c r="A244" i="330"/>
  <c r="A243" i="330"/>
  <c r="A242" i="330"/>
  <c r="A237" i="330"/>
  <c r="A236" i="330"/>
  <c r="A234" i="330"/>
  <c r="A233" i="330"/>
  <c r="A232" i="330"/>
  <c r="A229" i="330"/>
  <c r="A228" i="330"/>
  <c r="A227" i="330"/>
  <c r="A225" i="330"/>
  <c r="A224" i="330"/>
  <c r="A223" i="330"/>
  <c r="A217" i="330"/>
  <c r="A216" i="330"/>
  <c r="A210" i="330"/>
  <c r="A209" i="330"/>
  <c r="A198" i="330"/>
  <c r="A197" i="330"/>
  <c r="A189" i="330"/>
  <c r="A186" i="330"/>
  <c r="A185" i="330"/>
  <c r="A184" i="330"/>
  <c r="A183" i="330"/>
  <c r="A181" i="330"/>
  <c r="A180" i="330"/>
  <c r="A179" i="330"/>
  <c r="A173" i="330"/>
  <c r="A133" i="330"/>
  <c r="A132" i="330"/>
  <c r="A131" i="330"/>
  <c r="A130" i="330"/>
  <c r="A129" i="330"/>
  <c r="A126" i="330"/>
  <c r="F83" i="100"/>
  <c r="F82" i="100"/>
  <c r="F80" i="100"/>
  <c r="F78" i="100"/>
  <c r="F98" i="100"/>
  <c r="F97" i="100"/>
  <c r="F96" i="100"/>
  <c r="F95" i="100"/>
  <c r="B92" i="100"/>
  <c r="B89" i="100"/>
  <c r="B88" i="100"/>
  <c r="B87" i="100"/>
  <c r="B86" i="100"/>
  <c r="B85" i="100"/>
  <c r="B84" i="100"/>
  <c r="E98" i="100"/>
  <c r="E97" i="100"/>
  <c r="E96" i="100"/>
  <c r="F2" i="322"/>
  <c r="G2" i="322"/>
  <c r="H2" i="322"/>
  <c r="I2" i="322"/>
  <c r="J2" i="322"/>
  <c r="K2" i="322"/>
  <c r="L2" i="322"/>
  <c r="M2" i="322"/>
  <c r="N2" i="322"/>
  <c r="O2" i="322"/>
  <c r="F3" i="322"/>
  <c r="G3" i="322"/>
  <c r="H3" i="322"/>
  <c r="I3" i="322"/>
  <c r="J3" i="322"/>
  <c r="K3" i="322"/>
  <c r="L3" i="322"/>
  <c r="M3" i="322"/>
  <c r="N3" i="322"/>
  <c r="O3" i="322"/>
  <c r="F4" i="322"/>
  <c r="G4" i="322"/>
  <c r="H4" i="322"/>
  <c r="I4" i="322"/>
  <c r="J4" i="322"/>
  <c r="K4" i="322"/>
  <c r="L4" i="322"/>
  <c r="M4" i="322"/>
  <c r="N4" i="322"/>
  <c r="O4" i="322"/>
  <c r="F5" i="322"/>
  <c r="G5" i="322"/>
  <c r="H5" i="322"/>
  <c r="I5" i="322"/>
  <c r="J5" i="322"/>
  <c r="K5" i="322"/>
  <c r="L5" i="322"/>
  <c r="M5" i="322"/>
  <c r="N5" i="322"/>
  <c r="O5" i="322"/>
  <c r="F6" i="322"/>
  <c r="G6" i="322"/>
  <c r="H6" i="322"/>
  <c r="I6" i="322"/>
  <c r="J6" i="322"/>
  <c r="K6" i="322"/>
  <c r="L6" i="322"/>
  <c r="M6" i="322"/>
  <c r="N6" i="322"/>
  <c r="O6" i="322"/>
  <c r="F7" i="322"/>
  <c r="G7" i="322"/>
  <c r="H7" i="322"/>
  <c r="I7" i="322"/>
  <c r="J7" i="322"/>
  <c r="K7" i="322"/>
  <c r="L7" i="322"/>
  <c r="M7" i="322"/>
  <c r="N7" i="322"/>
  <c r="O7" i="322"/>
  <c r="E7" i="322"/>
  <c r="E6" i="322"/>
  <c r="E4" i="322"/>
  <c r="E3" i="322"/>
  <c r="K37" i="177"/>
  <c r="J45" i="267" s="1"/>
  <c r="H37" i="177"/>
  <c r="G45" i="267" s="1"/>
  <c r="G37" i="177"/>
  <c r="F45" i="267" s="1"/>
  <c r="F37" i="177"/>
  <c r="E45" i="267" s="1"/>
  <c r="E37" i="177"/>
  <c r="D45" i="267" s="1"/>
  <c r="D37" i="177"/>
  <c r="C45" i="267" s="1"/>
  <c r="C37" i="177"/>
  <c r="B45" i="267" s="1"/>
  <c r="K28" i="177"/>
  <c r="J44" i="267" s="1"/>
  <c r="H28" i="177"/>
  <c r="G44" i="267" s="1"/>
  <c r="G28" i="177"/>
  <c r="F44" i="267" s="1"/>
  <c r="F28" i="177"/>
  <c r="E44" i="267" s="1"/>
  <c r="E28" i="177"/>
  <c r="D44" i="267" s="1"/>
  <c r="C28" i="177"/>
  <c r="B44" i="267" s="1"/>
  <c r="K18" i="177"/>
  <c r="J43" i="267" s="1"/>
  <c r="G18" i="177"/>
  <c r="F43" i="267" s="1"/>
  <c r="F18" i="177"/>
  <c r="E18" i="177"/>
  <c r="D43" i="267" s="1"/>
  <c r="E77" i="100"/>
  <c r="E46" i="267"/>
  <c r="G48" i="178"/>
  <c r="J40" i="267" s="1"/>
  <c r="G40" i="178"/>
  <c r="G35" i="178"/>
  <c r="J38" i="267" s="1"/>
  <c r="G25" i="178"/>
  <c r="J37" i="267" s="1"/>
  <c r="G13" i="178"/>
  <c r="H52" i="174" s="1"/>
  <c r="E48" i="178"/>
  <c r="D40" i="267" s="1"/>
  <c r="D48" i="178"/>
  <c r="C40" i="267" s="1"/>
  <c r="E40" i="178"/>
  <c r="D39" i="267" s="1"/>
  <c r="D40" i="178"/>
  <c r="C39" i="267" s="1"/>
  <c r="E35" i="178"/>
  <c r="F53" i="174" s="1"/>
  <c r="D35" i="178"/>
  <c r="E53" i="174" s="1"/>
  <c r="E25" i="178"/>
  <c r="D37" i="267" s="1"/>
  <c r="D25" i="178"/>
  <c r="C37" i="267" s="1"/>
  <c r="C48" i="178"/>
  <c r="B40" i="267" s="1"/>
  <c r="C40" i="178"/>
  <c r="B39" i="267" s="1"/>
  <c r="C35" i="178"/>
  <c r="B38" i="267" s="1"/>
  <c r="C25" i="178"/>
  <c r="B37" i="267" s="1"/>
  <c r="C13" i="178"/>
  <c r="D52" i="174" s="1"/>
  <c r="G32" i="267"/>
  <c r="F32" i="267"/>
  <c r="E32" i="267"/>
  <c r="D32" i="267"/>
  <c r="C32" i="267"/>
  <c r="G31" i="267"/>
  <c r="F31" i="267"/>
  <c r="E31" i="267"/>
  <c r="D31" i="267"/>
  <c r="C31" i="267"/>
  <c r="G30" i="267"/>
  <c r="F30" i="267"/>
  <c r="E30" i="267"/>
  <c r="D30" i="267"/>
  <c r="C30" i="267"/>
  <c r="B32" i="267"/>
  <c r="B31" i="267"/>
  <c r="B30" i="267"/>
  <c r="F24" i="267"/>
  <c r="E24" i="267"/>
  <c r="D24" i="267"/>
  <c r="C24" i="267"/>
  <c r="B24" i="267"/>
  <c r="F22" i="267"/>
  <c r="E22" i="267"/>
  <c r="D22" i="267"/>
  <c r="C22" i="267"/>
  <c r="F21" i="267"/>
  <c r="E21" i="267"/>
  <c r="D21" i="267"/>
  <c r="C21" i="267"/>
  <c r="B22" i="267"/>
  <c r="B21" i="267"/>
  <c r="G36" i="182"/>
  <c r="G45" i="174" s="1"/>
  <c r="F36" i="182"/>
  <c r="E36" i="182"/>
  <c r="F45" i="174" s="1"/>
  <c r="D36" i="182"/>
  <c r="E45" i="174" s="1"/>
  <c r="C36" i="182"/>
  <c r="D45" i="174" s="1"/>
  <c r="F6" i="267"/>
  <c r="F7" i="267"/>
  <c r="F9" i="267"/>
  <c r="G22" i="182"/>
  <c r="G53" i="182" s="1"/>
  <c r="E6" i="267"/>
  <c r="E7" i="267"/>
  <c r="E9" i="267"/>
  <c r="F53" i="182"/>
  <c r="D6" i="267"/>
  <c r="D7" i="267"/>
  <c r="D9" i="267"/>
  <c r="E22" i="182"/>
  <c r="E53" i="182" s="1"/>
  <c r="C6" i="267"/>
  <c r="C7" i="267"/>
  <c r="C9" i="267"/>
  <c r="D22" i="182"/>
  <c r="E55" i="174" s="1"/>
  <c r="B6" i="267"/>
  <c r="B7" i="267"/>
  <c r="C22" i="182"/>
  <c r="D55" i="174" s="1"/>
  <c r="D27" i="174" s="1"/>
  <c r="F3" i="267"/>
  <c r="I48" i="267"/>
  <c r="H48" i="267"/>
  <c r="G48" i="267"/>
  <c r="F48" i="267"/>
  <c r="E48" i="267"/>
  <c r="D48" i="267"/>
  <c r="C48" i="267"/>
  <c r="B48" i="267"/>
  <c r="J3" i="267"/>
  <c r="I3" i="267"/>
  <c r="H3" i="267"/>
  <c r="G3" i="267"/>
  <c r="E3" i="267"/>
  <c r="D3" i="267"/>
  <c r="C3" i="267"/>
  <c r="B3" i="267"/>
  <c r="A2" i="267"/>
  <c r="A49" i="267"/>
  <c r="A50" i="267"/>
  <c r="A51" i="267"/>
  <c r="D15" i="173"/>
  <c r="C52" i="267" s="1"/>
  <c r="E15" i="173"/>
  <c r="D52" i="267" s="1"/>
  <c r="F15" i="173"/>
  <c r="E52" i="267" s="1"/>
  <c r="G15" i="173"/>
  <c r="F52" i="267" s="1"/>
  <c r="H15" i="173"/>
  <c r="G52" i="267" s="1"/>
  <c r="I15" i="173"/>
  <c r="H52" i="267" s="1"/>
  <c r="J15" i="173"/>
  <c r="I52" i="267" s="1"/>
  <c r="K6" i="173"/>
  <c r="B104" i="172" s="1"/>
  <c r="K7" i="173"/>
  <c r="C104" i="172" s="1"/>
  <c r="K8" i="173"/>
  <c r="D104" i="172" s="1"/>
  <c r="K9" i="173"/>
  <c r="E104" i="172" s="1"/>
  <c r="K10" i="173"/>
  <c r="F104" i="172" s="1"/>
  <c r="K11" i="173"/>
  <c r="G104" i="172" s="1"/>
  <c r="K13" i="173"/>
  <c r="I104" i="172" s="1"/>
  <c r="C14" i="175"/>
  <c r="B50" i="267" s="1"/>
  <c r="D14" i="175"/>
  <c r="C50" i="267" s="1"/>
  <c r="E14" i="175"/>
  <c r="D53" i="172" s="1"/>
  <c r="F14" i="175"/>
  <c r="E53" i="172" s="1"/>
  <c r="G14" i="175"/>
  <c r="F53" i="172" s="1"/>
  <c r="H14" i="175"/>
  <c r="I14" i="175"/>
  <c r="H53" i="172" s="1"/>
  <c r="J14" i="175"/>
  <c r="K40" i="177"/>
  <c r="C6" i="323"/>
  <c r="C6" i="272" s="1"/>
  <c r="C17" i="323"/>
  <c r="C7" i="272" s="1"/>
  <c r="C28" i="323"/>
  <c r="C8" i="272" s="1"/>
  <c r="C39" i="323"/>
  <c r="C9" i="272" s="1"/>
  <c r="C50" i="323"/>
  <c r="C10" i="272" s="1"/>
  <c r="C61" i="323"/>
  <c r="C11" i="272" s="1"/>
  <c r="C72" i="323"/>
  <c r="C12" i="272" s="1"/>
  <c r="C83" i="323"/>
  <c r="C13" i="272" s="1"/>
  <c r="C94" i="323"/>
  <c r="C14" i="272" s="1"/>
  <c r="C105" i="323"/>
  <c r="C15" i="272" s="1"/>
  <c r="H72" i="323"/>
  <c r="H12" i="272" s="1"/>
  <c r="H83" i="323"/>
  <c r="H13" i="272" s="1"/>
  <c r="H94" i="323"/>
  <c r="H14" i="272" s="1"/>
  <c r="G6" i="323"/>
  <c r="G6" i="272" s="1"/>
  <c r="G17" i="323"/>
  <c r="G7" i="272" s="1"/>
  <c r="G28" i="323"/>
  <c r="G8" i="272" s="1"/>
  <c r="G39" i="323"/>
  <c r="G9" i="272" s="1"/>
  <c r="G50" i="323"/>
  <c r="G10" i="272" s="1"/>
  <c r="G61" i="323"/>
  <c r="G11" i="272" s="1"/>
  <c r="G72" i="323"/>
  <c r="G83" i="323"/>
  <c r="G13" i="272" s="1"/>
  <c r="G94" i="323"/>
  <c r="G14" i="272" s="1"/>
  <c r="D6" i="323"/>
  <c r="D6" i="272" s="1"/>
  <c r="D17" i="323"/>
  <c r="D7" i="272" s="1"/>
  <c r="D28" i="323"/>
  <c r="D8" i="272" s="1"/>
  <c r="D39" i="323"/>
  <c r="D9" i="272" s="1"/>
  <c r="D50" i="323"/>
  <c r="D10" i="272" s="1"/>
  <c r="D61" i="323"/>
  <c r="D11" i="272" s="1"/>
  <c r="D72" i="323"/>
  <c r="D12" i="272" s="1"/>
  <c r="D83" i="323"/>
  <c r="D13" i="272" s="1"/>
  <c r="D94" i="323"/>
  <c r="D14" i="272" s="1"/>
  <c r="E6" i="323"/>
  <c r="E6" i="272" s="1"/>
  <c r="E17" i="323"/>
  <c r="E7" i="272" s="1"/>
  <c r="E28" i="323"/>
  <c r="E8" i="272" s="1"/>
  <c r="E39" i="323"/>
  <c r="E9" i="272" s="1"/>
  <c r="E50" i="323"/>
  <c r="E10" i="272" s="1"/>
  <c r="E61" i="323"/>
  <c r="E11" i="272" s="1"/>
  <c r="E72" i="323"/>
  <c r="E12" i="272" s="1"/>
  <c r="E83" i="323"/>
  <c r="E13" i="272" s="1"/>
  <c r="E94" i="323"/>
  <c r="E14" i="272" s="1"/>
  <c r="F6" i="323"/>
  <c r="F6" i="272" s="1"/>
  <c r="F17" i="323"/>
  <c r="F7" i="272" s="1"/>
  <c r="F28" i="323"/>
  <c r="F8" i="272" s="1"/>
  <c r="F39" i="323"/>
  <c r="F50" i="323"/>
  <c r="F10" i="272" s="1"/>
  <c r="F61" i="323"/>
  <c r="F11" i="272" s="1"/>
  <c r="F72" i="323"/>
  <c r="F12" i="272" s="1"/>
  <c r="F83" i="323"/>
  <c r="F13" i="272" s="1"/>
  <c r="F94" i="323"/>
  <c r="F14" i="272" s="1"/>
  <c r="K72" i="323"/>
  <c r="K12" i="272" s="1"/>
  <c r="K83" i="323"/>
  <c r="K13" i="272" s="1"/>
  <c r="C3" i="241"/>
  <c r="A2" i="241"/>
  <c r="K3" i="241"/>
  <c r="J3" i="241"/>
  <c r="I3" i="241"/>
  <c r="H3" i="241"/>
  <c r="G3" i="241"/>
  <c r="F3" i="241"/>
  <c r="E3" i="241"/>
  <c r="D3" i="241"/>
  <c r="B2" i="241"/>
  <c r="A51" i="241"/>
  <c r="I340" i="323"/>
  <c r="J340" i="323" s="1"/>
  <c r="I338" i="323"/>
  <c r="J338" i="323" s="1"/>
  <c r="I337" i="323"/>
  <c r="J337" i="323" s="1"/>
  <c r="I336" i="323"/>
  <c r="J336" i="323" s="1"/>
  <c r="I335" i="323"/>
  <c r="J335" i="323" s="1"/>
  <c r="I334" i="323"/>
  <c r="J334" i="323" s="1"/>
  <c r="I333" i="323"/>
  <c r="J333" i="323" s="1"/>
  <c r="I332" i="323"/>
  <c r="J332" i="323" s="1"/>
  <c r="I331" i="323"/>
  <c r="J331" i="323" s="1"/>
  <c r="I330" i="323"/>
  <c r="J330" i="323" s="1"/>
  <c r="I329" i="323"/>
  <c r="J329" i="323" s="1"/>
  <c r="I327" i="323"/>
  <c r="J327" i="323" s="1"/>
  <c r="I326" i="323"/>
  <c r="J326" i="323" s="1"/>
  <c r="I325" i="323"/>
  <c r="J325" i="323" s="1"/>
  <c r="I324" i="323"/>
  <c r="J324" i="323" s="1"/>
  <c r="I323" i="323"/>
  <c r="J323" i="323" s="1"/>
  <c r="I322" i="323"/>
  <c r="J322" i="323" s="1"/>
  <c r="I321" i="323"/>
  <c r="J321" i="323" s="1"/>
  <c r="I320" i="323"/>
  <c r="J320" i="323" s="1"/>
  <c r="I319" i="323"/>
  <c r="J319" i="323" s="1"/>
  <c r="I318" i="323"/>
  <c r="J318" i="323" s="1"/>
  <c r="I316" i="323"/>
  <c r="J316" i="323" s="1"/>
  <c r="I315" i="323"/>
  <c r="J315" i="323" s="1"/>
  <c r="I314" i="323"/>
  <c r="J314" i="323" s="1"/>
  <c r="I313" i="323"/>
  <c r="J313" i="323" s="1"/>
  <c r="I312" i="323"/>
  <c r="J312" i="323" s="1"/>
  <c r="I311" i="323"/>
  <c r="J311" i="323" s="1"/>
  <c r="I310" i="323"/>
  <c r="J310" i="323" s="1"/>
  <c r="I309" i="323"/>
  <c r="J309" i="323" s="1"/>
  <c r="I308" i="323"/>
  <c r="J308" i="323" s="1"/>
  <c r="I307" i="323"/>
  <c r="J307" i="323" s="1"/>
  <c r="I305" i="323"/>
  <c r="J305" i="323" s="1"/>
  <c r="I304" i="323"/>
  <c r="J304" i="323" s="1"/>
  <c r="I303" i="323"/>
  <c r="J303" i="323" s="1"/>
  <c r="I302" i="323"/>
  <c r="J302" i="323" s="1"/>
  <c r="I301" i="323"/>
  <c r="J301" i="323" s="1"/>
  <c r="I300" i="323"/>
  <c r="J300" i="323" s="1"/>
  <c r="I299" i="323"/>
  <c r="J299" i="323" s="1"/>
  <c r="I298" i="323"/>
  <c r="J298" i="323" s="1"/>
  <c r="I297" i="323"/>
  <c r="J297" i="323" s="1"/>
  <c r="I296" i="323"/>
  <c r="J296" i="323" s="1"/>
  <c r="I294" i="323"/>
  <c r="J294" i="323" s="1"/>
  <c r="I293" i="323"/>
  <c r="J293" i="323" s="1"/>
  <c r="I292" i="323"/>
  <c r="J292" i="323" s="1"/>
  <c r="I291" i="323"/>
  <c r="J291" i="323" s="1"/>
  <c r="I290" i="323"/>
  <c r="J290" i="323" s="1"/>
  <c r="I289" i="323"/>
  <c r="J289" i="323" s="1"/>
  <c r="I288" i="323"/>
  <c r="J288" i="323" s="1"/>
  <c r="I287" i="323"/>
  <c r="J287" i="323" s="1"/>
  <c r="I286" i="323"/>
  <c r="J286" i="323" s="1"/>
  <c r="I285" i="323"/>
  <c r="J285" i="323" s="1"/>
  <c r="I283" i="323"/>
  <c r="J283" i="323" s="1"/>
  <c r="I282" i="323"/>
  <c r="J282" i="323" s="1"/>
  <c r="I281" i="323"/>
  <c r="J281" i="323" s="1"/>
  <c r="I280" i="323"/>
  <c r="J280" i="323" s="1"/>
  <c r="I279" i="323"/>
  <c r="J279" i="323" s="1"/>
  <c r="I278" i="323"/>
  <c r="J278" i="323" s="1"/>
  <c r="I277" i="323"/>
  <c r="J277" i="323" s="1"/>
  <c r="I276" i="323"/>
  <c r="J276" i="323" s="1"/>
  <c r="I275" i="323"/>
  <c r="J275" i="323" s="1"/>
  <c r="I274" i="323"/>
  <c r="J274" i="323" s="1"/>
  <c r="I272" i="323"/>
  <c r="J272" i="323" s="1"/>
  <c r="I271" i="323"/>
  <c r="J271" i="323" s="1"/>
  <c r="I270" i="323"/>
  <c r="J270" i="323" s="1"/>
  <c r="I269" i="323"/>
  <c r="J269" i="323" s="1"/>
  <c r="I268" i="323"/>
  <c r="J268" i="323" s="1"/>
  <c r="I267" i="323"/>
  <c r="J267" i="323" s="1"/>
  <c r="I266" i="323"/>
  <c r="J266" i="323" s="1"/>
  <c r="I265" i="323"/>
  <c r="J265" i="323" s="1"/>
  <c r="I264" i="323"/>
  <c r="J264" i="323" s="1"/>
  <c r="I263" i="323"/>
  <c r="J263" i="323" s="1"/>
  <c r="I261" i="323"/>
  <c r="J261" i="323" s="1"/>
  <c r="I260" i="323"/>
  <c r="J260" i="323" s="1"/>
  <c r="I259" i="323"/>
  <c r="J259" i="323" s="1"/>
  <c r="I258" i="323"/>
  <c r="J258" i="323" s="1"/>
  <c r="I257" i="323"/>
  <c r="J257" i="323" s="1"/>
  <c r="I256" i="323"/>
  <c r="J256" i="323" s="1"/>
  <c r="I255" i="323"/>
  <c r="J255" i="323" s="1"/>
  <c r="I254" i="323"/>
  <c r="J254" i="323" s="1"/>
  <c r="I253" i="323"/>
  <c r="J253" i="323" s="1"/>
  <c r="I252" i="323"/>
  <c r="J252" i="323" s="1"/>
  <c r="I250" i="323"/>
  <c r="J250" i="323" s="1"/>
  <c r="I249" i="323"/>
  <c r="J249" i="323" s="1"/>
  <c r="I248" i="323"/>
  <c r="J248" i="323" s="1"/>
  <c r="I247" i="323"/>
  <c r="J247" i="323" s="1"/>
  <c r="I246" i="323"/>
  <c r="J246" i="323" s="1"/>
  <c r="I245" i="323"/>
  <c r="J245" i="323" s="1"/>
  <c r="I244" i="323"/>
  <c r="J244" i="323" s="1"/>
  <c r="I243" i="323"/>
  <c r="J243" i="323" s="1"/>
  <c r="I242" i="323"/>
  <c r="J242" i="323" s="1"/>
  <c r="I241" i="323"/>
  <c r="J241" i="323" s="1"/>
  <c r="I239" i="323"/>
  <c r="I238" i="323"/>
  <c r="J238" i="323" s="1"/>
  <c r="I237" i="323"/>
  <c r="J237" i="323" s="1"/>
  <c r="I228" i="323"/>
  <c r="J228" i="323" s="1"/>
  <c r="I217" i="323"/>
  <c r="J217" i="323" s="1"/>
  <c r="I216" i="323"/>
  <c r="J216" i="323" s="1"/>
  <c r="I215" i="323"/>
  <c r="J215" i="323" s="1"/>
  <c r="I214" i="323"/>
  <c r="J214" i="323" s="1"/>
  <c r="I213" i="323"/>
  <c r="J213" i="323" s="1"/>
  <c r="I212" i="323"/>
  <c r="J212" i="323" s="1"/>
  <c r="I206" i="323"/>
  <c r="J206" i="323" s="1"/>
  <c r="I205" i="323"/>
  <c r="J205" i="323" s="1"/>
  <c r="I204" i="323"/>
  <c r="J204" i="323" s="1"/>
  <c r="I195" i="323"/>
  <c r="J195" i="323" s="1"/>
  <c r="I194" i="323"/>
  <c r="J194" i="323" s="1"/>
  <c r="I193" i="323"/>
  <c r="J193" i="323" s="1"/>
  <c r="I192" i="323"/>
  <c r="J192" i="323" s="1"/>
  <c r="I184" i="323"/>
  <c r="J184" i="323" s="1"/>
  <c r="I183" i="323"/>
  <c r="J183" i="323" s="1"/>
  <c r="I182" i="323"/>
  <c r="J182" i="323" s="1"/>
  <c r="I181" i="323"/>
  <c r="J181" i="323" s="1"/>
  <c r="I180" i="323"/>
  <c r="J180" i="323" s="1"/>
  <c r="I179" i="323"/>
  <c r="J179" i="323" s="1"/>
  <c r="I178" i="323"/>
  <c r="J178" i="323" s="1"/>
  <c r="I177" i="323"/>
  <c r="J177" i="323" s="1"/>
  <c r="I173" i="323"/>
  <c r="J173" i="323" s="1"/>
  <c r="I172" i="323"/>
  <c r="J172" i="323" s="1"/>
  <c r="I170" i="323"/>
  <c r="J170" i="323" s="1"/>
  <c r="I169" i="323"/>
  <c r="J169" i="323" s="1"/>
  <c r="I168" i="323"/>
  <c r="J168" i="323" s="1"/>
  <c r="I167" i="323"/>
  <c r="J167" i="323" s="1"/>
  <c r="I166" i="323"/>
  <c r="J166" i="323" s="1"/>
  <c r="I165" i="323"/>
  <c r="J165" i="323" s="1"/>
  <c r="I164" i="323"/>
  <c r="J164" i="323" s="1"/>
  <c r="I163" i="323"/>
  <c r="J163" i="323" s="1"/>
  <c r="I162" i="323"/>
  <c r="J162" i="323" s="1"/>
  <c r="I161" i="323"/>
  <c r="J161" i="323" s="1"/>
  <c r="I159" i="323"/>
  <c r="J159" i="323" s="1"/>
  <c r="I158" i="323"/>
  <c r="J158" i="323" s="1"/>
  <c r="I157" i="323"/>
  <c r="J157" i="323" s="1"/>
  <c r="I156" i="323"/>
  <c r="J156" i="323" s="1"/>
  <c r="I155" i="323"/>
  <c r="J155" i="323" s="1"/>
  <c r="I154" i="323"/>
  <c r="J154" i="323" s="1"/>
  <c r="I153" i="323"/>
  <c r="J153" i="323" s="1"/>
  <c r="I152" i="323"/>
  <c r="J152" i="323" s="1"/>
  <c r="I151" i="323"/>
  <c r="J151" i="323" s="1"/>
  <c r="I150" i="323"/>
  <c r="J150" i="323" s="1"/>
  <c r="I148" i="323"/>
  <c r="J148" i="323" s="1"/>
  <c r="I147" i="323"/>
  <c r="J147" i="323" s="1"/>
  <c r="I146" i="323"/>
  <c r="J146" i="323" s="1"/>
  <c r="I145" i="323"/>
  <c r="J145" i="323" s="1"/>
  <c r="I144" i="323"/>
  <c r="J144" i="323" s="1"/>
  <c r="I143" i="323"/>
  <c r="J143" i="323" s="1"/>
  <c r="I142" i="323"/>
  <c r="J142" i="323" s="1"/>
  <c r="I141" i="323"/>
  <c r="J141" i="323" s="1"/>
  <c r="I140" i="323"/>
  <c r="J140" i="323" s="1"/>
  <c r="I139" i="323"/>
  <c r="J139" i="323" s="1"/>
  <c r="I137" i="323"/>
  <c r="J137" i="323" s="1"/>
  <c r="I136" i="323"/>
  <c r="J136" i="323" s="1"/>
  <c r="I135" i="323"/>
  <c r="J135" i="323" s="1"/>
  <c r="I134" i="323"/>
  <c r="J134" i="323" s="1"/>
  <c r="I133" i="323"/>
  <c r="J133" i="323" s="1"/>
  <c r="I132" i="323"/>
  <c r="J132" i="323" s="1"/>
  <c r="I131" i="323"/>
  <c r="J131" i="323" s="1"/>
  <c r="I130" i="323"/>
  <c r="J130" i="323" s="1"/>
  <c r="I129" i="323"/>
  <c r="J129" i="323" s="1"/>
  <c r="I128" i="323"/>
  <c r="J128" i="323" s="1"/>
  <c r="I126" i="323"/>
  <c r="J126" i="323" s="1"/>
  <c r="I125" i="323"/>
  <c r="J125" i="323" s="1"/>
  <c r="I124" i="323"/>
  <c r="J124" i="323" s="1"/>
  <c r="I123" i="323"/>
  <c r="J123" i="323" s="1"/>
  <c r="I122" i="323"/>
  <c r="J122" i="323" s="1"/>
  <c r="I121" i="323"/>
  <c r="J121" i="323" s="1"/>
  <c r="I120" i="323"/>
  <c r="J120" i="323" s="1"/>
  <c r="I119" i="323"/>
  <c r="J119" i="323" s="1"/>
  <c r="I118" i="323"/>
  <c r="J118" i="323" s="1"/>
  <c r="I117" i="323"/>
  <c r="J117" i="323" s="1"/>
  <c r="I115" i="323"/>
  <c r="J115" i="323" s="1"/>
  <c r="I114" i="323"/>
  <c r="J114" i="323" s="1"/>
  <c r="I113" i="323"/>
  <c r="J113" i="323" s="1"/>
  <c r="I112" i="323"/>
  <c r="J112" i="323" s="1"/>
  <c r="I111" i="323"/>
  <c r="J111" i="323" s="1"/>
  <c r="I110" i="323"/>
  <c r="J110" i="323" s="1"/>
  <c r="I109" i="323"/>
  <c r="J109" i="323" s="1"/>
  <c r="I108" i="323"/>
  <c r="J108" i="323" s="1"/>
  <c r="I107" i="323"/>
  <c r="J107" i="323" s="1"/>
  <c r="I106" i="323"/>
  <c r="J106" i="323" s="1"/>
  <c r="I104" i="323"/>
  <c r="J104" i="323" s="1"/>
  <c r="I103" i="323"/>
  <c r="J103" i="323" s="1"/>
  <c r="I102" i="323"/>
  <c r="J102" i="323" s="1"/>
  <c r="I101" i="323"/>
  <c r="J101" i="323" s="1"/>
  <c r="I100" i="323"/>
  <c r="J100" i="323" s="1"/>
  <c r="I99" i="323"/>
  <c r="J99" i="323" s="1"/>
  <c r="I98" i="323"/>
  <c r="J98" i="323" s="1"/>
  <c r="I97" i="323"/>
  <c r="J97" i="323" s="1"/>
  <c r="I96" i="323"/>
  <c r="J96" i="323" s="1"/>
  <c r="I95" i="323"/>
  <c r="J95" i="323" s="1"/>
  <c r="I93" i="323"/>
  <c r="J93" i="323" s="1"/>
  <c r="I92" i="323"/>
  <c r="J92" i="323" s="1"/>
  <c r="I91" i="323"/>
  <c r="J91" i="323" s="1"/>
  <c r="I90" i="323"/>
  <c r="J90" i="323" s="1"/>
  <c r="I89" i="323"/>
  <c r="J89" i="323" s="1"/>
  <c r="I88" i="323"/>
  <c r="J88" i="323" s="1"/>
  <c r="I87" i="323"/>
  <c r="J87" i="323" s="1"/>
  <c r="I86" i="323"/>
  <c r="J86" i="323" s="1"/>
  <c r="I85" i="323"/>
  <c r="J85" i="323" s="1"/>
  <c r="I84" i="323"/>
  <c r="J84" i="323" s="1"/>
  <c r="I82" i="323"/>
  <c r="J82" i="323" s="1"/>
  <c r="I81" i="323"/>
  <c r="J81" i="323" s="1"/>
  <c r="I80" i="323"/>
  <c r="J80" i="323" s="1"/>
  <c r="I79" i="323"/>
  <c r="J79" i="323" s="1"/>
  <c r="I78" i="323"/>
  <c r="J78" i="323" s="1"/>
  <c r="I77" i="323"/>
  <c r="J77" i="323" s="1"/>
  <c r="I76" i="323"/>
  <c r="J76" i="323" s="1"/>
  <c r="I75" i="323"/>
  <c r="J75" i="323" s="1"/>
  <c r="I74" i="323"/>
  <c r="J74" i="323" s="1"/>
  <c r="I73" i="323"/>
  <c r="J73" i="323" s="1"/>
  <c r="I71" i="323"/>
  <c r="J71" i="323" s="1"/>
  <c r="I70" i="323"/>
  <c r="J70" i="323" s="1"/>
  <c r="I69" i="323"/>
  <c r="J69" i="323" s="1"/>
  <c r="I60" i="323"/>
  <c r="J60" i="323" s="1"/>
  <c r="I49" i="323"/>
  <c r="J49" i="323" s="1"/>
  <c r="I48" i="323"/>
  <c r="J48" i="323" s="1"/>
  <c r="I47" i="323"/>
  <c r="J47" i="323" s="1"/>
  <c r="I46" i="323"/>
  <c r="J46" i="323" s="1"/>
  <c r="I45" i="323"/>
  <c r="J45" i="323" s="1"/>
  <c r="I44" i="323"/>
  <c r="J44" i="323" s="1"/>
  <c r="I38" i="323"/>
  <c r="J38" i="323" s="1"/>
  <c r="I37" i="323"/>
  <c r="J37" i="323" s="1"/>
  <c r="I36" i="323"/>
  <c r="J36" i="323" s="1"/>
  <c r="I27" i="323"/>
  <c r="J27" i="323" s="1"/>
  <c r="I26" i="323"/>
  <c r="J26" i="323" s="1"/>
  <c r="I25" i="323"/>
  <c r="J25" i="323" s="1"/>
  <c r="I24" i="323"/>
  <c r="J24" i="323" s="1"/>
  <c r="I16" i="323"/>
  <c r="J16" i="323" s="1"/>
  <c r="I15" i="323"/>
  <c r="J15" i="323" s="1"/>
  <c r="I14" i="323"/>
  <c r="J14" i="323" s="1"/>
  <c r="I13" i="323"/>
  <c r="J13" i="323" s="1"/>
  <c r="I12" i="323"/>
  <c r="J12" i="323" s="1"/>
  <c r="I11" i="323"/>
  <c r="J11" i="323" s="1"/>
  <c r="I10" i="323"/>
  <c r="J10" i="323" s="1"/>
  <c r="I9" i="323"/>
  <c r="J9" i="323" s="1"/>
  <c r="K3" i="323"/>
  <c r="J3" i="323"/>
  <c r="I3" i="323"/>
  <c r="H3" i="323"/>
  <c r="G3" i="323"/>
  <c r="F3" i="323"/>
  <c r="E3" i="323"/>
  <c r="D3" i="323"/>
  <c r="C3" i="323"/>
  <c r="A342" i="323"/>
  <c r="A341" i="323"/>
  <c r="B2" i="323"/>
  <c r="A2" i="323"/>
  <c r="B106" i="100"/>
  <c r="A101" i="172" s="1"/>
  <c r="E78" i="100"/>
  <c r="C3" i="272"/>
  <c r="A2" i="272"/>
  <c r="B2" i="272"/>
  <c r="F3" i="272"/>
  <c r="E3" i="272"/>
  <c r="D3" i="272"/>
  <c r="K3" i="272"/>
  <c r="J3" i="272"/>
  <c r="I3" i="272"/>
  <c r="H3" i="272"/>
  <c r="G3" i="272"/>
  <c r="A40" i="272"/>
  <c r="A41" i="272"/>
  <c r="E80" i="100"/>
  <c r="A53" i="182"/>
  <c r="A49" i="182"/>
  <c r="K3" i="182"/>
  <c r="J3" i="182"/>
  <c r="I3" i="182"/>
  <c r="H3" i="182"/>
  <c r="G3" i="182"/>
  <c r="F3" i="182"/>
  <c r="E3" i="182"/>
  <c r="D3" i="182"/>
  <c r="C3" i="182"/>
  <c r="B2" i="182"/>
  <c r="A2" i="182"/>
  <c r="A344" i="324"/>
  <c r="W171" i="324"/>
  <c r="W340" i="324"/>
  <c r="V171" i="324"/>
  <c r="V340" i="324"/>
  <c r="U171" i="324"/>
  <c r="U340" i="324"/>
  <c r="T171" i="324"/>
  <c r="T340" i="324"/>
  <c r="S171" i="324"/>
  <c r="S340" i="324"/>
  <c r="R171" i="324"/>
  <c r="R340" i="324"/>
  <c r="Q171" i="324"/>
  <c r="Q340" i="324"/>
  <c r="P171" i="324"/>
  <c r="P340" i="324"/>
  <c r="O171" i="324"/>
  <c r="O340" i="324"/>
  <c r="N171" i="324"/>
  <c r="N340" i="324"/>
  <c r="M171" i="324"/>
  <c r="M340" i="324"/>
  <c r="L171" i="324"/>
  <c r="L340" i="324"/>
  <c r="I342" i="324"/>
  <c r="J342" i="324" s="1"/>
  <c r="I340" i="324"/>
  <c r="J340" i="324" s="1"/>
  <c r="I339" i="324"/>
  <c r="J339" i="324" s="1"/>
  <c r="I338" i="324"/>
  <c r="J338" i="324" s="1"/>
  <c r="I337" i="324"/>
  <c r="J337" i="324" s="1"/>
  <c r="I336" i="324"/>
  <c r="J336" i="324" s="1"/>
  <c r="I335" i="324"/>
  <c r="J335" i="324" s="1"/>
  <c r="I334" i="324"/>
  <c r="J334" i="324" s="1"/>
  <c r="I333" i="324"/>
  <c r="J333" i="324" s="1"/>
  <c r="I332" i="324"/>
  <c r="J332" i="324" s="1"/>
  <c r="I331" i="324"/>
  <c r="J331" i="324" s="1"/>
  <c r="I329" i="324"/>
  <c r="J329" i="324" s="1"/>
  <c r="I328" i="324"/>
  <c r="J328" i="324" s="1"/>
  <c r="I327" i="324"/>
  <c r="J327" i="324" s="1"/>
  <c r="I326" i="324"/>
  <c r="J326" i="324" s="1"/>
  <c r="I325" i="324"/>
  <c r="J325" i="324" s="1"/>
  <c r="I324" i="324"/>
  <c r="J324" i="324" s="1"/>
  <c r="I323" i="324"/>
  <c r="J323" i="324" s="1"/>
  <c r="I322" i="324"/>
  <c r="J322" i="324" s="1"/>
  <c r="I321" i="324"/>
  <c r="J321" i="324" s="1"/>
  <c r="I320" i="324"/>
  <c r="J320" i="324" s="1"/>
  <c r="I318" i="324"/>
  <c r="J318" i="324" s="1"/>
  <c r="I317" i="324"/>
  <c r="J317" i="324" s="1"/>
  <c r="I316" i="324"/>
  <c r="J316" i="324" s="1"/>
  <c r="I315" i="324"/>
  <c r="J315" i="324" s="1"/>
  <c r="I314" i="324"/>
  <c r="J314" i="324" s="1"/>
  <c r="I313" i="324"/>
  <c r="J313" i="324" s="1"/>
  <c r="I312" i="324"/>
  <c r="J312" i="324" s="1"/>
  <c r="I311" i="324"/>
  <c r="J311" i="324" s="1"/>
  <c r="I310" i="324"/>
  <c r="J310" i="324" s="1"/>
  <c r="I309" i="324"/>
  <c r="J309" i="324" s="1"/>
  <c r="I307" i="324"/>
  <c r="J307" i="324" s="1"/>
  <c r="I306" i="324"/>
  <c r="J306" i="324" s="1"/>
  <c r="I305" i="324"/>
  <c r="J305" i="324" s="1"/>
  <c r="I304" i="324"/>
  <c r="J304" i="324" s="1"/>
  <c r="I303" i="324"/>
  <c r="J303" i="324" s="1"/>
  <c r="I302" i="324"/>
  <c r="J302" i="324" s="1"/>
  <c r="I301" i="324"/>
  <c r="J301" i="324" s="1"/>
  <c r="I300" i="324"/>
  <c r="J300" i="324" s="1"/>
  <c r="I299" i="324"/>
  <c r="J299" i="324" s="1"/>
  <c r="I298" i="324"/>
  <c r="J298" i="324" s="1"/>
  <c r="I296" i="324"/>
  <c r="J296" i="324" s="1"/>
  <c r="I295" i="324"/>
  <c r="J295" i="324" s="1"/>
  <c r="I294" i="324"/>
  <c r="J294" i="324" s="1"/>
  <c r="I293" i="324"/>
  <c r="J293" i="324" s="1"/>
  <c r="I292" i="324"/>
  <c r="J292" i="324" s="1"/>
  <c r="I291" i="324"/>
  <c r="J291" i="324" s="1"/>
  <c r="I290" i="324"/>
  <c r="J290" i="324" s="1"/>
  <c r="I289" i="324"/>
  <c r="J289" i="324" s="1"/>
  <c r="I288" i="324"/>
  <c r="J288" i="324" s="1"/>
  <c r="I287" i="324"/>
  <c r="J287" i="324" s="1"/>
  <c r="I285" i="324"/>
  <c r="J285" i="324" s="1"/>
  <c r="I284" i="324"/>
  <c r="J284" i="324" s="1"/>
  <c r="I283" i="324"/>
  <c r="J283" i="324" s="1"/>
  <c r="I282" i="324"/>
  <c r="J282" i="324" s="1"/>
  <c r="I281" i="324"/>
  <c r="J281" i="324" s="1"/>
  <c r="I280" i="324"/>
  <c r="J280" i="324" s="1"/>
  <c r="I279" i="324"/>
  <c r="J279" i="324" s="1"/>
  <c r="I278" i="324"/>
  <c r="J278" i="324" s="1"/>
  <c r="I277" i="324"/>
  <c r="J277" i="324" s="1"/>
  <c r="I276" i="324"/>
  <c r="J276" i="324" s="1"/>
  <c r="I274" i="324"/>
  <c r="J274" i="324" s="1"/>
  <c r="I273" i="324"/>
  <c r="J273" i="324" s="1"/>
  <c r="I272" i="324"/>
  <c r="J272" i="324" s="1"/>
  <c r="I271" i="324"/>
  <c r="J271" i="324" s="1"/>
  <c r="I270" i="324"/>
  <c r="J270" i="324" s="1"/>
  <c r="I269" i="324"/>
  <c r="J269" i="324" s="1"/>
  <c r="I268" i="324"/>
  <c r="J268" i="324" s="1"/>
  <c r="I267" i="324"/>
  <c r="J267" i="324" s="1"/>
  <c r="I266" i="324"/>
  <c r="J266" i="324" s="1"/>
  <c r="I265" i="324"/>
  <c r="J265" i="324" s="1"/>
  <c r="I263" i="324"/>
  <c r="J263" i="324" s="1"/>
  <c r="I262" i="324"/>
  <c r="J262" i="324" s="1"/>
  <c r="I261" i="324"/>
  <c r="J261" i="324" s="1"/>
  <c r="I260" i="324"/>
  <c r="J260" i="324" s="1"/>
  <c r="I259" i="324"/>
  <c r="J259" i="324" s="1"/>
  <c r="I258" i="324"/>
  <c r="J258" i="324" s="1"/>
  <c r="I257" i="324"/>
  <c r="J257" i="324" s="1"/>
  <c r="I256" i="324"/>
  <c r="J256" i="324" s="1"/>
  <c r="I255" i="324"/>
  <c r="J255" i="324" s="1"/>
  <c r="I254" i="324"/>
  <c r="J254" i="324" s="1"/>
  <c r="I252" i="324"/>
  <c r="J252" i="324" s="1"/>
  <c r="I251" i="324"/>
  <c r="J251" i="324" s="1"/>
  <c r="I250" i="324"/>
  <c r="J250" i="324" s="1"/>
  <c r="I249" i="324"/>
  <c r="J249" i="324" s="1"/>
  <c r="I248" i="324"/>
  <c r="J248" i="324" s="1"/>
  <c r="I247" i="324"/>
  <c r="J247" i="324" s="1"/>
  <c r="I246" i="324"/>
  <c r="J246" i="324" s="1"/>
  <c r="I245" i="324"/>
  <c r="J245" i="324" s="1"/>
  <c r="I244" i="324"/>
  <c r="J244" i="324" s="1"/>
  <c r="I243" i="324"/>
  <c r="J243" i="324" s="1"/>
  <c r="I241" i="324"/>
  <c r="J241" i="324" s="1"/>
  <c r="I240" i="324"/>
  <c r="J240" i="324" s="1"/>
  <c r="I239" i="324"/>
  <c r="J239" i="324" s="1"/>
  <c r="I238" i="324"/>
  <c r="J238" i="324" s="1"/>
  <c r="I237" i="324"/>
  <c r="J237" i="324" s="1"/>
  <c r="I236" i="324"/>
  <c r="J236" i="324" s="1"/>
  <c r="I235" i="324"/>
  <c r="J235" i="324" s="1"/>
  <c r="J234" i="324"/>
  <c r="J233" i="324"/>
  <c r="I232" i="324"/>
  <c r="J232" i="324" s="1"/>
  <c r="I230" i="324"/>
  <c r="J230" i="324" s="1"/>
  <c r="I229" i="324"/>
  <c r="J229" i="324" s="1"/>
  <c r="I228" i="324"/>
  <c r="J228" i="324" s="1"/>
  <c r="I227" i="324"/>
  <c r="J227" i="324" s="1"/>
  <c r="I226" i="324"/>
  <c r="J226" i="324" s="1"/>
  <c r="I225" i="324"/>
  <c r="J225" i="324" s="1"/>
  <c r="I224" i="324"/>
  <c r="J224" i="324" s="1"/>
  <c r="I223" i="324"/>
  <c r="J223" i="324" s="1"/>
  <c r="I222" i="324"/>
  <c r="J222" i="324" s="1"/>
  <c r="I221" i="324"/>
  <c r="J221" i="324" s="1"/>
  <c r="I219" i="324"/>
  <c r="J219" i="324" s="1"/>
  <c r="I218" i="324"/>
  <c r="J218" i="324" s="1"/>
  <c r="I217" i="324"/>
  <c r="J217" i="324" s="1"/>
  <c r="I216" i="324"/>
  <c r="J216" i="324" s="1"/>
  <c r="I215" i="324"/>
  <c r="J215" i="324" s="1"/>
  <c r="I214" i="324"/>
  <c r="J214" i="324" s="1"/>
  <c r="I213" i="324"/>
  <c r="J213" i="324" s="1"/>
  <c r="I212" i="324"/>
  <c r="J212" i="324" s="1"/>
  <c r="I211" i="324"/>
  <c r="J211" i="324" s="1"/>
  <c r="I210" i="324"/>
  <c r="J210" i="324" s="1"/>
  <c r="I208" i="324"/>
  <c r="J208" i="324" s="1"/>
  <c r="I207" i="324"/>
  <c r="J207" i="324" s="1"/>
  <c r="I206" i="324"/>
  <c r="J206" i="324" s="1"/>
  <c r="I205" i="324"/>
  <c r="J205" i="324" s="1"/>
  <c r="I204" i="324"/>
  <c r="J204" i="324" s="1"/>
  <c r="I203" i="324"/>
  <c r="J203" i="324" s="1"/>
  <c r="I202" i="324"/>
  <c r="J202" i="324" s="1"/>
  <c r="I201" i="324"/>
  <c r="J201" i="324" s="1"/>
  <c r="I200" i="324"/>
  <c r="J200" i="324" s="1"/>
  <c r="I199" i="324"/>
  <c r="J199" i="324" s="1"/>
  <c r="I197" i="324"/>
  <c r="J197" i="324" s="1"/>
  <c r="I196" i="324"/>
  <c r="J196" i="324" s="1"/>
  <c r="I195" i="324"/>
  <c r="J195" i="324" s="1"/>
  <c r="I194" i="324"/>
  <c r="J194" i="324" s="1"/>
  <c r="I193" i="324"/>
  <c r="J193" i="324" s="1"/>
  <c r="I192" i="324"/>
  <c r="J192" i="324" s="1"/>
  <c r="I191" i="324"/>
  <c r="J191" i="324" s="1"/>
  <c r="I190" i="324"/>
  <c r="J190" i="324" s="1"/>
  <c r="I189" i="324"/>
  <c r="J189" i="324" s="1"/>
  <c r="I188" i="324"/>
  <c r="J188" i="324" s="1"/>
  <c r="I186" i="324"/>
  <c r="J186" i="324" s="1"/>
  <c r="I185" i="324"/>
  <c r="J185" i="324" s="1"/>
  <c r="I184" i="324"/>
  <c r="J184" i="324" s="1"/>
  <c r="I183" i="324"/>
  <c r="J183" i="324" s="1"/>
  <c r="I182" i="324"/>
  <c r="J182" i="324" s="1"/>
  <c r="I181" i="324"/>
  <c r="J181" i="324" s="1"/>
  <c r="I180" i="324"/>
  <c r="J180" i="324" s="1"/>
  <c r="I179" i="324"/>
  <c r="J179" i="324" s="1"/>
  <c r="I178" i="324"/>
  <c r="J178" i="324" s="1"/>
  <c r="I177" i="324"/>
  <c r="J177" i="324" s="1"/>
  <c r="I175" i="324"/>
  <c r="J175" i="324" s="1"/>
  <c r="I173" i="324"/>
  <c r="J173" i="324" s="1"/>
  <c r="I171" i="324"/>
  <c r="J171" i="324" s="1"/>
  <c r="I170" i="324"/>
  <c r="J170" i="324" s="1"/>
  <c r="I169" i="324"/>
  <c r="J169" i="324" s="1"/>
  <c r="I168" i="324"/>
  <c r="J168" i="324" s="1"/>
  <c r="I167" i="324"/>
  <c r="J167" i="324" s="1"/>
  <c r="I166" i="324"/>
  <c r="J166" i="324" s="1"/>
  <c r="I165" i="324"/>
  <c r="J165" i="324" s="1"/>
  <c r="I164" i="324"/>
  <c r="J164" i="324" s="1"/>
  <c r="I163" i="324"/>
  <c r="J163" i="324" s="1"/>
  <c r="I162" i="324"/>
  <c r="J162" i="324" s="1"/>
  <c r="I160" i="324"/>
  <c r="J160" i="324" s="1"/>
  <c r="I159" i="324"/>
  <c r="J159" i="324" s="1"/>
  <c r="I158" i="324"/>
  <c r="J158" i="324" s="1"/>
  <c r="I157" i="324"/>
  <c r="J157" i="324" s="1"/>
  <c r="I156" i="324"/>
  <c r="J156" i="324" s="1"/>
  <c r="I155" i="324"/>
  <c r="J155" i="324" s="1"/>
  <c r="I154" i="324"/>
  <c r="J154" i="324" s="1"/>
  <c r="I153" i="324"/>
  <c r="J153" i="324" s="1"/>
  <c r="I152" i="324"/>
  <c r="J152" i="324" s="1"/>
  <c r="I151" i="324"/>
  <c r="J151" i="324" s="1"/>
  <c r="I149" i="324"/>
  <c r="J149" i="324" s="1"/>
  <c r="I148" i="324"/>
  <c r="J148" i="324" s="1"/>
  <c r="I147" i="324"/>
  <c r="J147" i="324" s="1"/>
  <c r="I146" i="324"/>
  <c r="J146" i="324" s="1"/>
  <c r="I145" i="324"/>
  <c r="J145" i="324" s="1"/>
  <c r="I144" i="324"/>
  <c r="J144" i="324" s="1"/>
  <c r="I143" i="324"/>
  <c r="J143" i="324" s="1"/>
  <c r="I142" i="324"/>
  <c r="J142" i="324" s="1"/>
  <c r="I141" i="324"/>
  <c r="J141" i="324" s="1"/>
  <c r="I140" i="324"/>
  <c r="J140" i="324" s="1"/>
  <c r="I138" i="324"/>
  <c r="J138" i="324" s="1"/>
  <c r="I137" i="324"/>
  <c r="J137" i="324" s="1"/>
  <c r="I136" i="324"/>
  <c r="J136" i="324" s="1"/>
  <c r="I135" i="324"/>
  <c r="J135" i="324" s="1"/>
  <c r="I134" i="324"/>
  <c r="J134" i="324" s="1"/>
  <c r="I133" i="324"/>
  <c r="J133" i="324" s="1"/>
  <c r="I132" i="324"/>
  <c r="J132" i="324" s="1"/>
  <c r="I131" i="324"/>
  <c r="J131" i="324" s="1"/>
  <c r="I130" i="324"/>
  <c r="J130" i="324" s="1"/>
  <c r="I129" i="324"/>
  <c r="J129" i="324" s="1"/>
  <c r="I127" i="324"/>
  <c r="J127" i="324" s="1"/>
  <c r="I126" i="324"/>
  <c r="J126" i="324" s="1"/>
  <c r="I125" i="324"/>
  <c r="J125" i="324" s="1"/>
  <c r="I124" i="324"/>
  <c r="J124" i="324" s="1"/>
  <c r="I123" i="324"/>
  <c r="J123" i="324" s="1"/>
  <c r="I122" i="324"/>
  <c r="J122" i="324" s="1"/>
  <c r="I121" i="324"/>
  <c r="J121" i="324" s="1"/>
  <c r="I120" i="324"/>
  <c r="J120" i="324" s="1"/>
  <c r="I119" i="324"/>
  <c r="J119" i="324" s="1"/>
  <c r="I118" i="324"/>
  <c r="J118" i="324" s="1"/>
  <c r="I116" i="324"/>
  <c r="J116" i="324" s="1"/>
  <c r="I115" i="324"/>
  <c r="J115" i="324" s="1"/>
  <c r="I114" i="324"/>
  <c r="J114" i="324" s="1"/>
  <c r="I113" i="324"/>
  <c r="J113" i="324" s="1"/>
  <c r="I112" i="324"/>
  <c r="J112" i="324" s="1"/>
  <c r="I111" i="324"/>
  <c r="J111" i="324" s="1"/>
  <c r="I110" i="324"/>
  <c r="J110" i="324" s="1"/>
  <c r="I109" i="324"/>
  <c r="J109" i="324" s="1"/>
  <c r="I108" i="324"/>
  <c r="J108" i="324" s="1"/>
  <c r="I107" i="324"/>
  <c r="J107" i="324" s="1"/>
  <c r="I105" i="324"/>
  <c r="J105" i="324" s="1"/>
  <c r="I104" i="324"/>
  <c r="J104" i="324" s="1"/>
  <c r="I103" i="324"/>
  <c r="J103" i="324" s="1"/>
  <c r="I102" i="324"/>
  <c r="J102" i="324" s="1"/>
  <c r="I101" i="324"/>
  <c r="J101" i="324" s="1"/>
  <c r="I100" i="324"/>
  <c r="J100" i="324" s="1"/>
  <c r="I99" i="324"/>
  <c r="J99" i="324" s="1"/>
  <c r="I98" i="324"/>
  <c r="J98" i="324" s="1"/>
  <c r="I97" i="324"/>
  <c r="J97" i="324" s="1"/>
  <c r="I96" i="324"/>
  <c r="J96" i="324" s="1"/>
  <c r="I94" i="324"/>
  <c r="J94" i="324" s="1"/>
  <c r="I93" i="324"/>
  <c r="J93" i="324" s="1"/>
  <c r="I92" i="324"/>
  <c r="J92" i="324" s="1"/>
  <c r="I91" i="324"/>
  <c r="J91" i="324" s="1"/>
  <c r="I90" i="324"/>
  <c r="J90" i="324" s="1"/>
  <c r="I89" i="324"/>
  <c r="J89" i="324" s="1"/>
  <c r="I88" i="324"/>
  <c r="J88" i="324" s="1"/>
  <c r="I87" i="324"/>
  <c r="J87" i="324" s="1"/>
  <c r="I86" i="324"/>
  <c r="J86" i="324" s="1"/>
  <c r="I85" i="324"/>
  <c r="J85" i="324" s="1"/>
  <c r="I83" i="324"/>
  <c r="J83" i="324" s="1"/>
  <c r="I82" i="324"/>
  <c r="J82" i="324" s="1"/>
  <c r="I81" i="324"/>
  <c r="J81" i="324" s="1"/>
  <c r="I80" i="324"/>
  <c r="J80" i="324" s="1"/>
  <c r="I79" i="324"/>
  <c r="J79" i="324" s="1"/>
  <c r="I78" i="324"/>
  <c r="J78" i="324" s="1"/>
  <c r="I77" i="324"/>
  <c r="J77" i="324" s="1"/>
  <c r="I76" i="324"/>
  <c r="J76" i="324" s="1"/>
  <c r="I75" i="324"/>
  <c r="J75" i="324" s="1"/>
  <c r="I74" i="324"/>
  <c r="J74" i="324" s="1"/>
  <c r="I72" i="324"/>
  <c r="J72" i="324" s="1"/>
  <c r="I71" i="324"/>
  <c r="J71" i="324" s="1"/>
  <c r="I70" i="324"/>
  <c r="J70" i="324" s="1"/>
  <c r="I69" i="324"/>
  <c r="J69" i="324" s="1"/>
  <c r="I68" i="324"/>
  <c r="J68" i="324" s="1"/>
  <c r="I67" i="324"/>
  <c r="J67" i="324" s="1"/>
  <c r="I66" i="324"/>
  <c r="J66" i="324" s="1"/>
  <c r="I65" i="324"/>
  <c r="J65" i="324" s="1"/>
  <c r="I64" i="324"/>
  <c r="J64" i="324" s="1"/>
  <c r="I63" i="324"/>
  <c r="J63" i="324" s="1"/>
  <c r="I61" i="324"/>
  <c r="J61" i="324" s="1"/>
  <c r="I60" i="324"/>
  <c r="J60" i="324" s="1"/>
  <c r="I59" i="324"/>
  <c r="J59" i="324" s="1"/>
  <c r="I58" i="324"/>
  <c r="J58" i="324" s="1"/>
  <c r="I57" i="324"/>
  <c r="J57" i="324" s="1"/>
  <c r="I56" i="324"/>
  <c r="J56" i="324" s="1"/>
  <c r="I55" i="324"/>
  <c r="J55" i="324" s="1"/>
  <c r="I54" i="324"/>
  <c r="J54" i="324" s="1"/>
  <c r="I53" i="324"/>
  <c r="J53" i="324" s="1"/>
  <c r="I52" i="324"/>
  <c r="J52" i="324" s="1"/>
  <c r="I50" i="324"/>
  <c r="J50" i="324" s="1"/>
  <c r="I49" i="324"/>
  <c r="J49" i="324" s="1"/>
  <c r="I48" i="324"/>
  <c r="J48" i="324" s="1"/>
  <c r="I47" i="324"/>
  <c r="J47" i="324" s="1"/>
  <c r="I46" i="324"/>
  <c r="J46" i="324" s="1"/>
  <c r="I45" i="324"/>
  <c r="J45" i="324" s="1"/>
  <c r="I44" i="324"/>
  <c r="J44" i="324" s="1"/>
  <c r="I43" i="324"/>
  <c r="J43" i="324" s="1"/>
  <c r="I42" i="324"/>
  <c r="J42" i="324" s="1"/>
  <c r="I41" i="324"/>
  <c r="J41" i="324" s="1"/>
  <c r="I39" i="324"/>
  <c r="J39" i="324" s="1"/>
  <c r="I38" i="324"/>
  <c r="J38" i="324" s="1"/>
  <c r="I37" i="324"/>
  <c r="J37" i="324" s="1"/>
  <c r="I36" i="324"/>
  <c r="J36" i="324" s="1"/>
  <c r="I35" i="324"/>
  <c r="J35" i="324" s="1"/>
  <c r="I34" i="324"/>
  <c r="J34" i="324" s="1"/>
  <c r="I33" i="324"/>
  <c r="J33" i="324" s="1"/>
  <c r="I32" i="324"/>
  <c r="J32" i="324" s="1"/>
  <c r="I31" i="324"/>
  <c r="J31" i="324" s="1"/>
  <c r="I30" i="324"/>
  <c r="J30" i="324" s="1"/>
  <c r="I28" i="324"/>
  <c r="J28" i="324" s="1"/>
  <c r="I27" i="324"/>
  <c r="J27" i="324" s="1"/>
  <c r="I26" i="324"/>
  <c r="J26" i="324" s="1"/>
  <c r="I25" i="324"/>
  <c r="J25" i="324" s="1"/>
  <c r="I24" i="324"/>
  <c r="J24" i="324" s="1"/>
  <c r="I23" i="324"/>
  <c r="J23" i="324" s="1"/>
  <c r="I22" i="324"/>
  <c r="J22" i="324" s="1"/>
  <c r="I21" i="324"/>
  <c r="J21" i="324" s="1"/>
  <c r="I20" i="324"/>
  <c r="J20" i="324" s="1"/>
  <c r="I19" i="324"/>
  <c r="J19" i="324" s="1"/>
  <c r="I17" i="324"/>
  <c r="J17" i="324" s="1"/>
  <c r="I16" i="324"/>
  <c r="J16" i="324" s="1"/>
  <c r="I15" i="324"/>
  <c r="J15" i="324" s="1"/>
  <c r="I14" i="324"/>
  <c r="J14" i="324" s="1"/>
  <c r="I13" i="324"/>
  <c r="J13" i="324" s="1"/>
  <c r="I12" i="324"/>
  <c r="J12" i="324" s="1"/>
  <c r="I11" i="324"/>
  <c r="J11" i="324" s="1"/>
  <c r="I10" i="324"/>
  <c r="J10" i="324" s="1"/>
  <c r="I9" i="324"/>
  <c r="J9" i="324" s="1"/>
  <c r="I8" i="324"/>
  <c r="J8" i="324" s="1"/>
  <c r="W3" i="324"/>
  <c r="V3" i="324"/>
  <c r="U3" i="324"/>
  <c r="T3" i="324"/>
  <c r="S3" i="324"/>
  <c r="R3" i="324"/>
  <c r="Q3" i="324"/>
  <c r="P3" i="324"/>
  <c r="O3" i="324"/>
  <c r="N3" i="324"/>
  <c r="M3" i="324"/>
  <c r="L3" i="324"/>
  <c r="K3" i="324"/>
  <c r="J3" i="324"/>
  <c r="I3" i="324"/>
  <c r="H3" i="324"/>
  <c r="G3" i="324"/>
  <c r="F3" i="324"/>
  <c r="E3" i="324"/>
  <c r="D3" i="324"/>
  <c r="C3" i="324"/>
  <c r="L2" i="324"/>
  <c r="B2" i="324"/>
  <c r="A2" i="324"/>
  <c r="G43" i="268"/>
  <c r="G47" i="268"/>
  <c r="G53" i="268"/>
  <c r="H43" i="268"/>
  <c r="H47" i="268"/>
  <c r="H53" i="268"/>
  <c r="F43" i="268"/>
  <c r="F47" i="268"/>
  <c r="F53" i="268"/>
  <c r="E43" i="268"/>
  <c r="E47" i="268"/>
  <c r="E53" i="268"/>
  <c r="D43" i="268"/>
  <c r="D47" i="268"/>
  <c r="D53" i="268"/>
  <c r="C43" i="268"/>
  <c r="C47" i="268"/>
  <c r="C53" i="268"/>
  <c r="I62" i="268"/>
  <c r="J62" i="268" s="1"/>
  <c r="I61" i="268"/>
  <c r="J61" i="268" s="1"/>
  <c r="I60" i="268"/>
  <c r="J60" i="268" s="1"/>
  <c r="I59" i="268"/>
  <c r="J59" i="268" s="1"/>
  <c r="I58" i="268"/>
  <c r="J58" i="268" s="1"/>
  <c r="I56" i="268"/>
  <c r="J56" i="268" s="1"/>
  <c r="I55" i="268"/>
  <c r="J55" i="268" s="1"/>
  <c r="I54" i="268"/>
  <c r="J54" i="268" s="1"/>
  <c r="I52" i="268"/>
  <c r="J52" i="268" s="1"/>
  <c r="I51" i="268"/>
  <c r="J51" i="268" s="1"/>
  <c r="I50" i="268"/>
  <c r="J50" i="268" s="1"/>
  <c r="I49" i="268"/>
  <c r="J49" i="268" s="1"/>
  <c r="I48" i="268"/>
  <c r="J48" i="268" s="1"/>
  <c r="I46" i="268"/>
  <c r="J46" i="268" s="1"/>
  <c r="I45" i="268"/>
  <c r="J45" i="268" s="1"/>
  <c r="I44" i="268"/>
  <c r="J44" i="268" s="1"/>
  <c r="I73" i="268"/>
  <c r="J73" i="268" s="1"/>
  <c r="I72" i="268"/>
  <c r="J72" i="268" s="1"/>
  <c r="I71" i="268"/>
  <c r="J71" i="268" s="1"/>
  <c r="I69" i="268"/>
  <c r="J69" i="268" s="1"/>
  <c r="I68" i="268"/>
  <c r="J68" i="268" s="1"/>
  <c r="I67" i="268"/>
  <c r="J67" i="268" s="1"/>
  <c r="A2" i="268"/>
  <c r="K3" i="268"/>
  <c r="J3" i="268"/>
  <c r="I3" i="268"/>
  <c r="H3" i="268"/>
  <c r="G3" i="268"/>
  <c r="F3" i="268"/>
  <c r="E3" i="268"/>
  <c r="D3" i="268"/>
  <c r="C3" i="268"/>
  <c r="B2" i="268"/>
  <c r="A75" i="268"/>
  <c r="E82" i="100"/>
  <c r="F25" i="178"/>
  <c r="A49" i="178"/>
  <c r="A2" i="178"/>
  <c r="G3" i="178"/>
  <c r="F3" i="178"/>
  <c r="E3" i="178"/>
  <c r="D3" i="178"/>
  <c r="C3" i="178"/>
  <c r="B2" i="178"/>
  <c r="F40" i="178"/>
  <c r="F39" i="267" s="1"/>
  <c r="I7" i="177"/>
  <c r="J7" i="177" s="1"/>
  <c r="I10" i="177"/>
  <c r="J10" i="177" s="1"/>
  <c r="I11" i="177"/>
  <c r="J11" i="177" s="1"/>
  <c r="I12" i="177"/>
  <c r="J12" i="177" s="1"/>
  <c r="I13" i="177"/>
  <c r="J13" i="177" s="1"/>
  <c r="I15" i="177"/>
  <c r="J15" i="177" s="1"/>
  <c r="I16" i="177"/>
  <c r="J16" i="177" s="1"/>
  <c r="I17" i="177"/>
  <c r="J17" i="177" s="1"/>
  <c r="E83" i="100"/>
  <c r="I32" i="177"/>
  <c r="J32" i="177" s="1"/>
  <c r="I33" i="177"/>
  <c r="J33" i="177" s="1"/>
  <c r="I34" i="177"/>
  <c r="J34" i="177" s="1"/>
  <c r="I36" i="177"/>
  <c r="J36" i="177" s="1"/>
  <c r="J35" i="177"/>
  <c r="I22" i="177"/>
  <c r="J22" i="177" s="1"/>
  <c r="I27" i="177"/>
  <c r="J27" i="177" s="1"/>
  <c r="I23" i="177"/>
  <c r="J23" i="177" s="1"/>
  <c r="I24" i="177"/>
  <c r="J24" i="177" s="1"/>
  <c r="I25" i="177"/>
  <c r="J25" i="177" s="1"/>
  <c r="K3" i="177"/>
  <c r="J3" i="177"/>
  <c r="I3" i="177"/>
  <c r="H3" i="177"/>
  <c r="G3" i="177"/>
  <c r="F3" i="177"/>
  <c r="E3" i="177"/>
  <c r="D3" i="177"/>
  <c r="C3" i="177"/>
  <c r="B2" i="177"/>
  <c r="A2" i="177"/>
  <c r="A7" i="322"/>
  <c r="A6" i="322"/>
  <c r="A5" i="322"/>
  <c r="A4" i="322"/>
  <c r="A3" i="322"/>
  <c r="A2" i="322"/>
  <c r="J103" i="172"/>
  <c r="I103" i="172"/>
  <c r="H103" i="172"/>
  <c r="G103" i="172"/>
  <c r="F103" i="172"/>
  <c r="E103" i="172"/>
  <c r="D103" i="172"/>
  <c r="C103" i="172"/>
  <c r="B103" i="172"/>
  <c r="J102" i="172"/>
  <c r="I102" i="172"/>
  <c r="H102" i="172"/>
  <c r="G102" i="172"/>
  <c r="F102" i="172"/>
  <c r="E102" i="172"/>
  <c r="D102" i="172"/>
  <c r="C102" i="172"/>
  <c r="B102" i="172"/>
  <c r="I52" i="172"/>
  <c r="B105" i="100"/>
  <c r="A76" i="172" s="1"/>
  <c r="A81" i="172"/>
  <c r="A80" i="172"/>
  <c r="A79" i="172"/>
  <c r="A78" i="172"/>
  <c r="H52" i="172"/>
  <c r="G52" i="172"/>
  <c r="F52" i="172"/>
  <c r="E52" i="172"/>
  <c r="D52" i="172"/>
  <c r="C52" i="172"/>
  <c r="B52" i="172"/>
  <c r="B104" i="100"/>
  <c r="A51" i="172" s="1"/>
  <c r="A39" i="172"/>
  <c r="A38" i="172"/>
  <c r="A37" i="172"/>
  <c r="A36" i="172"/>
  <c r="A35" i="172"/>
  <c r="A34" i="172"/>
  <c r="A33" i="172"/>
  <c r="A32" i="172"/>
  <c r="A31" i="172"/>
  <c r="A30" i="172"/>
  <c r="A29" i="172"/>
  <c r="A28" i="172"/>
  <c r="G7" i="180"/>
  <c r="G6" i="180"/>
  <c r="C28" i="172" s="1"/>
  <c r="F6" i="180"/>
  <c r="G3" i="180"/>
  <c r="C27" i="172" s="1"/>
  <c r="F3" i="180"/>
  <c r="B27" i="172" s="1"/>
  <c r="A14" i="172"/>
  <c r="A13" i="172"/>
  <c r="A12" i="172"/>
  <c r="A11" i="172"/>
  <c r="A10" i="172"/>
  <c r="A9" i="172"/>
  <c r="A8" i="172"/>
  <c r="A7" i="172"/>
  <c r="A6" i="172"/>
  <c r="A5" i="172"/>
  <c r="A4" i="172"/>
  <c r="A3" i="172"/>
  <c r="E14" i="172"/>
  <c r="D14" i="172"/>
  <c r="C14" i="172"/>
  <c r="E13" i="172"/>
  <c r="D13" i="172"/>
  <c r="C13" i="172"/>
  <c r="E12" i="172"/>
  <c r="D12" i="172"/>
  <c r="C12" i="172"/>
  <c r="E11" i="172"/>
  <c r="D11" i="172"/>
  <c r="C11" i="172"/>
  <c r="E10" i="172"/>
  <c r="D10" i="172"/>
  <c r="C10" i="172"/>
  <c r="E9" i="172"/>
  <c r="D9" i="172"/>
  <c r="C9" i="172"/>
  <c r="E8" i="172"/>
  <c r="D8" i="172"/>
  <c r="C8" i="172"/>
  <c r="E7" i="172"/>
  <c r="D7" i="172"/>
  <c r="C7" i="172"/>
  <c r="E6" i="172"/>
  <c r="D6" i="172"/>
  <c r="C6" i="172"/>
  <c r="E5" i="172"/>
  <c r="D5" i="172"/>
  <c r="C5" i="172"/>
  <c r="E4" i="172"/>
  <c r="D4" i="172"/>
  <c r="C4" i="172"/>
  <c r="E3" i="172"/>
  <c r="E3" i="180"/>
  <c r="E2" i="172" s="1"/>
  <c r="D3" i="172"/>
  <c r="D3" i="180"/>
  <c r="D2" i="172" s="1"/>
  <c r="C3" i="180"/>
  <c r="C2" i="172" s="1"/>
  <c r="C3" i="172"/>
  <c r="B14" i="172"/>
  <c r="B13" i="172"/>
  <c r="B12" i="172"/>
  <c r="B11" i="172"/>
  <c r="B10" i="172"/>
  <c r="B9" i="172"/>
  <c r="B8" i="172"/>
  <c r="B7" i="172"/>
  <c r="B6" i="172"/>
  <c r="B5" i="172"/>
  <c r="B4" i="172"/>
  <c r="B3" i="172"/>
  <c r="K20" i="175"/>
  <c r="C81" i="172" s="1"/>
  <c r="B81" i="172" s="1"/>
  <c r="K18" i="175"/>
  <c r="C79" i="172" s="1"/>
  <c r="B79" i="172" s="1"/>
  <c r="K17" i="175"/>
  <c r="C78" i="172" s="1"/>
  <c r="B78" i="172" s="1"/>
  <c r="I54" i="172"/>
  <c r="H54" i="172"/>
  <c r="G54" i="172"/>
  <c r="F54" i="172"/>
  <c r="E54" i="172"/>
  <c r="D54" i="172"/>
  <c r="C54" i="172"/>
  <c r="B54" i="172"/>
  <c r="B2" i="251"/>
  <c r="A2" i="251"/>
  <c r="E93" i="100"/>
  <c r="A5" i="181"/>
  <c r="G22" i="181"/>
  <c r="G36" i="181"/>
  <c r="H22" i="181"/>
  <c r="H36" i="181"/>
  <c r="I43" i="181"/>
  <c r="J43" i="181" s="1"/>
  <c r="I41" i="181"/>
  <c r="J41" i="181" s="1"/>
  <c r="I40" i="181"/>
  <c r="J40" i="181" s="1"/>
  <c r="I39" i="181"/>
  <c r="J39" i="181" s="1"/>
  <c r="I35" i="181"/>
  <c r="J35" i="181" s="1"/>
  <c r="I34" i="181"/>
  <c r="J34" i="181" s="1"/>
  <c r="I33" i="181"/>
  <c r="J33" i="181" s="1"/>
  <c r="I32" i="181"/>
  <c r="J32" i="181" s="1"/>
  <c r="I31" i="181"/>
  <c r="J31" i="181" s="1"/>
  <c r="I30" i="181"/>
  <c r="J30" i="181" s="1"/>
  <c r="I29" i="181"/>
  <c r="J29" i="181" s="1"/>
  <c r="I28" i="181"/>
  <c r="J28" i="181" s="1"/>
  <c r="I27" i="181"/>
  <c r="J27" i="181" s="1"/>
  <c r="I26" i="181"/>
  <c r="J26" i="181" s="1"/>
  <c r="I25" i="181"/>
  <c r="J25" i="181" s="1"/>
  <c r="I21" i="181"/>
  <c r="J21" i="181" s="1"/>
  <c r="I20" i="181"/>
  <c r="J20" i="181" s="1"/>
  <c r="I19" i="181"/>
  <c r="J19" i="181" s="1"/>
  <c r="I18" i="181"/>
  <c r="J18" i="181" s="1"/>
  <c r="I17" i="181"/>
  <c r="J17" i="181" s="1"/>
  <c r="I16" i="181"/>
  <c r="J16" i="181" s="1"/>
  <c r="I15" i="181"/>
  <c r="J15" i="181" s="1"/>
  <c r="I14" i="181"/>
  <c r="J14" i="181" s="1"/>
  <c r="I13" i="181"/>
  <c r="J13" i="181" s="1"/>
  <c r="I12" i="181"/>
  <c r="J12" i="181" s="1"/>
  <c r="I11" i="181"/>
  <c r="J11" i="181" s="1"/>
  <c r="I10" i="181"/>
  <c r="J10" i="181" s="1"/>
  <c r="I9" i="181"/>
  <c r="J9" i="181" s="1"/>
  <c r="I8" i="181"/>
  <c r="J8" i="181" s="1"/>
  <c r="I7" i="181"/>
  <c r="J7" i="181" s="1"/>
  <c r="I6" i="181"/>
  <c r="J6" i="181" s="1"/>
  <c r="K22" i="181"/>
  <c r="K36" i="181"/>
  <c r="F22" i="181"/>
  <c r="F36" i="181"/>
  <c r="E22" i="181"/>
  <c r="E36" i="181"/>
  <c r="D22" i="181"/>
  <c r="D36" i="181"/>
  <c r="C22" i="181"/>
  <c r="C36" i="181"/>
  <c r="A44" i="181"/>
  <c r="A43" i="181"/>
  <c r="A42" i="181"/>
  <c r="A38" i="181"/>
  <c r="A41" i="181"/>
  <c r="A40" i="181"/>
  <c r="A39" i="181"/>
  <c r="A35" i="181"/>
  <c r="A34" i="181"/>
  <c r="A33" i="181"/>
  <c r="A32" i="181"/>
  <c r="A31" i="181"/>
  <c r="A30" i="181"/>
  <c r="A29" i="181"/>
  <c r="A28" i="181"/>
  <c r="A27" i="181"/>
  <c r="A26" i="181"/>
  <c r="A25" i="181"/>
  <c r="A21" i="181"/>
  <c r="A20" i="181"/>
  <c r="A19" i="181"/>
  <c r="A18" i="181"/>
  <c r="A17" i="181"/>
  <c r="A16" i="181"/>
  <c r="A15" i="181"/>
  <c r="A14" i="181"/>
  <c r="A13" i="181"/>
  <c r="A12" i="181"/>
  <c r="A11" i="181"/>
  <c r="A10" i="181"/>
  <c r="A9" i="181"/>
  <c r="A8" i="181"/>
  <c r="A7" i="181"/>
  <c r="A6" i="181"/>
  <c r="I37" i="181"/>
  <c r="A45" i="181"/>
  <c r="A2" i="181"/>
  <c r="K3" i="181"/>
  <c r="J3" i="181"/>
  <c r="I3" i="181"/>
  <c r="H3" i="181"/>
  <c r="G3" i="181"/>
  <c r="F3" i="181"/>
  <c r="E3" i="181"/>
  <c r="D3" i="181"/>
  <c r="C3" i="181"/>
  <c r="B2" i="181"/>
  <c r="E94" i="100"/>
  <c r="A41" i="183"/>
  <c r="A40" i="183"/>
  <c r="A39" i="183"/>
  <c r="A38" i="183"/>
  <c r="A37" i="183"/>
  <c r="A36" i="183"/>
  <c r="A35" i="183"/>
  <c r="A34" i="183"/>
  <c r="A28" i="183"/>
  <c r="A27" i="183"/>
  <c r="A26" i="183"/>
  <c r="A25" i="183"/>
  <c r="A24" i="183"/>
  <c r="A23" i="183"/>
  <c r="A22" i="183"/>
  <c r="A21" i="183"/>
  <c r="A20" i="183"/>
  <c r="A19" i="183"/>
  <c r="G16" i="183"/>
  <c r="H16" i="183"/>
  <c r="G29" i="183"/>
  <c r="H29" i="183"/>
  <c r="G43" i="183"/>
  <c r="H43" i="183"/>
  <c r="J42" i="183"/>
  <c r="I41" i="183"/>
  <c r="J41" i="183" s="1"/>
  <c r="I40" i="183"/>
  <c r="J40" i="183" s="1"/>
  <c r="I39" i="183"/>
  <c r="J39" i="183" s="1"/>
  <c r="I38" i="183"/>
  <c r="J38" i="183" s="1"/>
  <c r="I37" i="183"/>
  <c r="J37" i="183" s="1"/>
  <c r="I36" i="183"/>
  <c r="J36" i="183" s="1"/>
  <c r="I35" i="183"/>
  <c r="J35" i="183" s="1"/>
  <c r="I34" i="183"/>
  <c r="J34" i="183" s="1"/>
  <c r="I33" i="183"/>
  <c r="J33" i="183" s="1"/>
  <c r="J30" i="183"/>
  <c r="I28" i="183"/>
  <c r="J28" i="183" s="1"/>
  <c r="I27" i="183"/>
  <c r="J27" i="183" s="1"/>
  <c r="I26" i="183"/>
  <c r="J26" i="183" s="1"/>
  <c r="I25" i="183"/>
  <c r="J25" i="183" s="1"/>
  <c r="I24" i="183"/>
  <c r="J24" i="183" s="1"/>
  <c r="I23" i="183"/>
  <c r="J23" i="183" s="1"/>
  <c r="I22" i="183"/>
  <c r="J22" i="183" s="1"/>
  <c r="I21" i="183"/>
  <c r="J21" i="183" s="1"/>
  <c r="I20" i="183"/>
  <c r="J20" i="183" s="1"/>
  <c r="I19" i="183"/>
  <c r="J19" i="183" s="1"/>
  <c r="A33" i="183"/>
  <c r="I15" i="183"/>
  <c r="J15" i="183" s="1"/>
  <c r="I14" i="183"/>
  <c r="J14" i="183" s="1"/>
  <c r="I13" i="183"/>
  <c r="J13" i="183" s="1"/>
  <c r="I12" i="183"/>
  <c r="J12" i="183" s="1"/>
  <c r="I11" i="183"/>
  <c r="J11" i="183" s="1"/>
  <c r="I10" i="183"/>
  <c r="J10" i="183" s="1"/>
  <c r="I9" i="183"/>
  <c r="J9" i="183" s="1"/>
  <c r="I8" i="183"/>
  <c r="J8" i="183" s="1"/>
  <c r="I7" i="183"/>
  <c r="J7" i="183" s="1"/>
  <c r="I6" i="183"/>
  <c r="J6" i="183" s="1"/>
  <c r="A44" i="183"/>
  <c r="K3" i="183"/>
  <c r="J3" i="183"/>
  <c r="I3" i="183"/>
  <c r="H3" i="183"/>
  <c r="G3" i="183"/>
  <c r="F3" i="183"/>
  <c r="E3" i="183"/>
  <c r="D3" i="183"/>
  <c r="C3" i="183"/>
  <c r="B2" i="183"/>
  <c r="A2" i="183"/>
  <c r="C16" i="183"/>
  <c r="D16" i="183"/>
  <c r="E16" i="183"/>
  <c r="F16" i="183"/>
  <c r="K16" i="183"/>
  <c r="C29" i="183"/>
  <c r="D29" i="183"/>
  <c r="E29" i="183"/>
  <c r="F29" i="183"/>
  <c r="K29" i="183"/>
  <c r="A31" i="183"/>
  <c r="C43" i="183"/>
  <c r="D43" i="183"/>
  <c r="E43" i="183"/>
  <c r="F43" i="183"/>
  <c r="K43" i="183"/>
  <c r="E95" i="100"/>
  <c r="E18" i="180"/>
  <c r="D18" i="180"/>
  <c r="C18" i="180"/>
  <c r="I3" i="180"/>
  <c r="H3" i="180"/>
  <c r="B3" i="180"/>
  <c r="B18" i="180"/>
  <c r="I138" i="242"/>
  <c r="J138" i="242" s="1"/>
  <c r="J136" i="242"/>
  <c r="J139" i="242"/>
  <c r="I108" i="242"/>
  <c r="J108" i="242" s="1"/>
  <c r="I109" i="242"/>
  <c r="J109" i="242" s="1"/>
  <c r="I110" i="242"/>
  <c r="J110" i="242" s="1"/>
  <c r="I101" i="242"/>
  <c r="J101" i="242" s="1"/>
  <c r="I11" i="242"/>
  <c r="J11" i="242" s="1"/>
  <c r="I12" i="242"/>
  <c r="J12" i="242" s="1"/>
  <c r="I14" i="242"/>
  <c r="J14" i="242" s="1"/>
  <c r="I15" i="242"/>
  <c r="J15" i="242" s="1"/>
  <c r="I16" i="242"/>
  <c r="J16" i="242" s="1"/>
  <c r="I28" i="242"/>
  <c r="J28" i="242" s="1"/>
  <c r="I37" i="242"/>
  <c r="J37" i="242" s="1"/>
  <c r="I70" i="242"/>
  <c r="J70" i="242" s="1"/>
  <c r="I71" i="242"/>
  <c r="J71" i="242" s="1"/>
  <c r="I72" i="242"/>
  <c r="J72" i="242" s="1"/>
  <c r="I73" i="242"/>
  <c r="J73" i="242" s="1"/>
  <c r="J74" i="242"/>
  <c r="I151" i="242"/>
  <c r="J151" i="242" s="1"/>
  <c r="I148" i="242"/>
  <c r="J148" i="242" s="1"/>
  <c r="I141" i="242"/>
  <c r="J141" i="242" s="1"/>
  <c r="I135" i="242"/>
  <c r="J135" i="242" s="1"/>
  <c r="I134" i="242"/>
  <c r="J134" i="242" s="1"/>
  <c r="I133" i="242"/>
  <c r="J133" i="242" s="1"/>
  <c r="I131" i="242"/>
  <c r="J131" i="242" s="1"/>
  <c r="I130" i="242"/>
  <c r="J130" i="242" s="1"/>
  <c r="I129" i="242"/>
  <c r="J129" i="242" s="1"/>
  <c r="I128" i="242"/>
  <c r="J128" i="242" s="1"/>
  <c r="I127" i="242"/>
  <c r="J127" i="242" s="1"/>
  <c r="I126" i="242"/>
  <c r="J126" i="242" s="1"/>
  <c r="I125" i="242"/>
  <c r="J125" i="242" s="1"/>
  <c r="I121" i="242"/>
  <c r="J121" i="242" s="1"/>
  <c r="I102" i="242"/>
  <c r="J102" i="242" s="1"/>
  <c r="I100" i="242"/>
  <c r="J100" i="242" s="1"/>
  <c r="I98" i="242"/>
  <c r="J98" i="242" s="1"/>
  <c r="I97" i="242"/>
  <c r="J97" i="242" s="1"/>
  <c r="I96" i="242"/>
  <c r="J96" i="242" s="1"/>
  <c r="I95" i="242"/>
  <c r="J95" i="242" s="1"/>
  <c r="I94" i="242"/>
  <c r="J94" i="242" s="1"/>
  <c r="I93" i="242"/>
  <c r="J93" i="242" s="1"/>
  <c r="I92" i="242"/>
  <c r="J92" i="242" s="1"/>
  <c r="I91" i="242"/>
  <c r="J91" i="242" s="1"/>
  <c r="I90" i="242"/>
  <c r="J90" i="242" s="1"/>
  <c r="I89" i="242"/>
  <c r="J89" i="242" s="1"/>
  <c r="I88" i="242"/>
  <c r="J88" i="242" s="1"/>
  <c r="A2" i="242"/>
  <c r="K3" i="242"/>
  <c r="J3" i="242"/>
  <c r="I3" i="242"/>
  <c r="H3" i="242"/>
  <c r="G3" i="242"/>
  <c r="F3" i="242"/>
  <c r="E3" i="242"/>
  <c r="D3" i="242"/>
  <c r="C3" i="242"/>
  <c r="B2" i="242"/>
  <c r="K3" i="326"/>
  <c r="J3" i="326"/>
  <c r="I3" i="326"/>
  <c r="H3" i="326"/>
  <c r="G3" i="326"/>
  <c r="F3" i="326"/>
  <c r="E3" i="326"/>
  <c r="D3" i="326"/>
  <c r="C3" i="326"/>
  <c r="B2" i="326"/>
  <c r="A2" i="326"/>
  <c r="K3" i="325"/>
  <c r="J3" i="325"/>
  <c r="I3" i="325"/>
  <c r="H3" i="325"/>
  <c r="G3" i="325"/>
  <c r="F3" i="325"/>
  <c r="E3" i="325"/>
  <c r="D3" i="325"/>
  <c r="C3" i="325"/>
  <c r="B2" i="325"/>
  <c r="A2" i="325"/>
  <c r="G42" i="174"/>
  <c r="F42" i="174"/>
  <c r="F44" i="174"/>
  <c r="E42" i="174"/>
  <c r="E44" i="174"/>
  <c r="G40" i="174"/>
  <c r="F40" i="174"/>
  <c r="E40" i="174"/>
  <c r="D42" i="174"/>
  <c r="D44" i="174"/>
  <c r="D40" i="174"/>
  <c r="D26" i="174" s="1"/>
  <c r="H63" i="174"/>
  <c r="H18" i="174" s="1"/>
  <c r="G63" i="174"/>
  <c r="G18" i="174" s="1"/>
  <c r="F63" i="174"/>
  <c r="F18" i="174" s="1"/>
  <c r="E63" i="174"/>
  <c r="E18" i="174" s="1"/>
  <c r="H59" i="174"/>
  <c r="F59" i="174"/>
  <c r="E59" i="174"/>
  <c r="D63" i="174"/>
  <c r="D18" i="174" s="1"/>
  <c r="D59" i="174"/>
  <c r="H51" i="174"/>
  <c r="H50" i="174"/>
  <c r="G51" i="174"/>
  <c r="G50" i="174"/>
  <c r="F51" i="174"/>
  <c r="F50" i="174"/>
  <c r="E51" i="174"/>
  <c r="E50" i="174"/>
  <c r="D51" i="174"/>
  <c r="D50" i="174"/>
  <c r="H48" i="174"/>
  <c r="F48" i="174"/>
  <c r="E48" i="174"/>
  <c r="D48" i="174"/>
  <c r="G47" i="174"/>
  <c r="F47" i="174"/>
  <c r="E47" i="174"/>
  <c r="D47" i="174"/>
  <c r="G38" i="174"/>
  <c r="F38" i="174"/>
  <c r="E38" i="174"/>
  <c r="D38" i="174"/>
  <c r="H43" i="174"/>
  <c r="G43" i="174"/>
  <c r="F43" i="174"/>
  <c r="E43" i="174"/>
  <c r="D43" i="174"/>
  <c r="A52" i="174"/>
  <c r="A50" i="174"/>
  <c r="A41" i="174"/>
  <c r="A40" i="174"/>
  <c r="A53" i="174"/>
  <c r="A51" i="174"/>
  <c r="A46" i="174"/>
  <c r="A38" i="174"/>
  <c r="H61" i="174"/>
  <c r="H58" i="174"/>
  <c r="G58" i="174"/>
  <c r="F58" i="174"/>
  <c r="E58" i="174"/>
  <c r="D58" i="174"/>
  <c r="G61" i="174"/>
  <c r="G60" i="174"/>
  <c r="G57" i="174"/>
  <c r="G56" i="174"/>
  <c r="F60" i="174"/>
  <c r="E60" i="174"/>
  <c r="F57" i="174"/>
  <c r="E57" i="174"/>
  <c r="F56" i="174"/>
  <c r="E56" i="174"/>
  <c r="D61" i="174"/>
  <c r="D60" i="174"/>
  <c r="D57" i="174"/>
  <c r="D56" i="174"/>
  <c r="A57" i="174"/>
  <c r="A56" i="174"/>
  <c r="A55" i="174"/>
  <c r="C2" i="174"/>
  <c r="G3" i="174"/>
  <c r="H3" i="174"/>
  <c r="F3" i="174"/>
  <c r="E3" i="174"/>
  <c r="D3" i="174"/>
  <c r="J21" i="175"/>
  <c r="I21" i="175"/>
  <c r="H21" i="175"/>
  <c r="G21" i="175"/>
  <c r="F21" i="175"/>
  <c r="E21" i="175"/>
  <c r="D21" i="175"/>
  <c r="C21" i="175"/>
  <c r="A2" i="175"/>
  <c r="M14" i="175"/>
  <c r="M21" i="175"/>
  <c r="L15" i="173"/>
  <c r="A2" i="173"/>
  <c r="J51" i="238"/>
  <c r="A64" i="238"/>
  <c r="C42" i="270"/>
  <c r="C54" i="270"/>
  <c r="I58" i="270"/>
  <c r="J58" i="270" s="1"/>
  <c r="I48" i="270"/>
  <c r="J48" i="270" s="1"/>
  <c r="K47" i="270"/>
  <c r="G47" i="270"/>
  <c r="H47" i="270"/>
  <c r="F47" i="270"/>
  <c r="E47" i="270"/>
  <c r="D47" i="270"/>
  <c r="K57" i="270"/>
  <c r="G57" i="270"/>
  <c r="H57" i="270"/>
  <c r="F57" i="270"/>
  <c r="E57" i="270"/>
  <c r="D57" i="270"/>
  <c r="I56" i="270"/>
  <c r="J56" i="270" s="1"/>
  <c r="I55" i="270"/>
  <c r="J55" i="270" s="1"/>
  <c r="K54" i="270"/>
  <c r="G54" i="270"/>
  <c r="H54" i="270"/>
  <c r="F54" i="270"/>
  <c r="E54" i="270"/>
  <c r="D54" i="270"/>
  <c r="K42" i="270"/>
  <c r="G42" i="270"/>
  <c r="H42" i="270"/>
  <c r="F42" i="270"/>
  <c r="E42" i="270"/>
  <c r="D42" i="270"/>
  <c r="G28" i="270"/>
  <c r="H28" i="270"/>
  <c r="I29" i="270"/>
  <c r="J29" i="270" s="1"/>
  <c r="I30" i="270"/>
  <c r="J30" i="270" s="1"/>
  <c r="G31" i="270"/>
  <c r="H31" i="270"/>
  <c r="I32" i="270"/>
  <c r="J32" i="270" s="1"/>
  <c r="I38" i="270"/>
  <c r="J38" i="270" s="1"/>
  <c r="K8" i="270"/>
  <c r="K15" i="270"/>
  <c r="K28" i="270"/>
  <c r="K31" i="270"/>
  <c r="H8" i="270"/>
  <c r="H15" i="270"/>
  <c r="G8" i="270"/>
  <c r="G15" i="270"/>
  <c r="F8" i="270"/>
  <c r="F15" i="270"/>
  <c r="F28" i="270"/>
  <c r="F31" i="270"/>
  <c r="E8" i="270"/>
  <c r="E15" i="270"/>
  <c r="E28" i="270"/>
  <c r="E31" i="270"/>
  <c r="D8" i="270"/>
  <c r="D15" i="270"/>
  <c r="D28" i="270"/>
  <c r="D31" i="270"/>
  <c r="C8" i="270"/>
  <c r="C15" i="270"/>
  <c r="C28" i="270"/>
  <c r="A57" i="270"/>
  <c r="A57" i="269" s="1"/>
  <c r="A54" i="270"/>
  <c r="A47" i="270"/>
  <c r="A39" i="334" s="1"/>
  <c r="A42" i="270"/>
  <c r="I43" i="270"/>
  <c r="I46" i="270"/>
  <c r="J46" i="270" s="1"/>
  <c r="I53" i="270"/>
  <c r="J53" i="270" s="1"/>
  <c r="I63" i="270"/>
  <c r="J63" i="270" s="1"/>
  <c r="I9" i="270"/>
  <c r="J9" i="270" s="1"/>
  <c r="I14" i="270"/>
  <c r="J14" i="270" s="1"/>
  <c r="I16" i="270"/>
  <c r="J16" i="270" s="1"/>
  <c r="I27" i="270"/>
  <c r="J27" i="270" s="1"/>
  <c r="K3" i="270"/>
  <c r="J3" i="270"/>
  <c r="I3" i="270"/>
  <c r="H3" i="270"/>
  <c r="G3" i="270"/>
  <c r="F3" i="270"/>
  <c r="E3" i="270"/>
  <c r="D3" i="270"/>
  <c r="C3" i="270"/>
  <c r="B2" i="270"/>
  <c r="A2" i="270"/>
  <c r="A67" i="270"/>
  <c r="I59" i="269"/>
  <c r="J59" i="269" s="1"/>
  <c r="I58" i="269"/>
  <c r="J58" i="269" s="1"/>
  <c r="K57" i="269"/>
  <c r="G57" i="269"/>
  <c r="H57" i="269"/>
  <c r="F57" i="269"/>
  <c r="E57" i="269"/>
  <c r="D57" i="269"/>
  <c r="C57" i="269"/>
  <c r="I56" i="269"/>
  <c r="J56" i="269" s="1"/>
  <c r="I55" i="269"/>
  <c r="J55" i="269" s="1"/>
  <c r="K54" i="269"/>
  <c r="G54" i="269"/>
  <c r="H54" i="269"/>
  <c r="F54" i="269"/>
  <c r="E54" i="269"/>
  <c r="D54" i="269"/>
  <c r="C54" i="269"/>
  <c r="I53" i="269"/>
  <c r="J53" i="269" s="1"/>
  <c r="I48" i="269"/>
  <c r="J48" i="269" s="1"/>
  <c r="K47" i="269"/>
  <c r="G47" i="269"/>
  <c r="F47" i="269"/>
  <c r="E47" i="269"/>
  <c r="D47" i="269"/>
  <c r="C47" i="269"/>
  <c r="I46" i="269"/>
  <c r="J46" i="269" s="1"/>
  <c r="I45" i="269"/>
  <c r="J45" i="269" s="1"/>
  <c r="I44" i="269"/>
  <c r="J44" i="269" s="1"/>
  <c r="I43" i="269"/>
  <c r="J43" i="269" s="1"/>
  <c r="K42" i="269"/>
  <c r="H42" i="269"/>
  <c r="G42" i="269"/>
  <c r="F42" i="269"/>
  <c r="E42" i="269"/>
  <c r="D42" i="269"/>
  <c r="C42" i="269"/>
  <c r="K8" i="269"/>
  <c r="K15" i="269"/>
  <c r="K28" i="269"/>
  <c r="K31" i="269"/>
  <c r="I9" i="269"/>
  <c r="J9" i="269" s="1"/>
  <c r="I10" i="269"/>
  <c r="J10" i="269" s="1"/>
  <c r="I11" i="269"/>
  <c r="I12" i="269"/>
  <c r="J12" i="269" s="1"/>
  <c r="I14" i="269"/>
  <c r="J14" i="269" s="1"/>
  <c r="I16" i="269"/>
  <c r="J16" i="269" s="1"/>
  <c r="I17" i="269"/>
  <c r="I18" i="269"/>
  <c r="J18" i="269" s="1"/>
  <c r="I19" i="269"/>
  <c r="J19" i="269" s="1"/>
  <c r="G28" i="269"/>
  <c r="H28" i="269"/>
  <c r="G31" i="269"/>
  <c r="H31" i="269"/>
  <c r="H8" i="269"/>
  <c r="H15" i="269"/>
  <c r="G8" i="269"/>
  <c r="G15" i="269"/>
  <c r="F8" i="269"/>
  <c r="F15" i="269"/>
  <c r="F28" i="269"/>
  <c r="F31" i="269"/>
  <c r="E8" i="269"/>
  <c r="E15" i="269"/>
  <c r="E31" i="269"/>
  <c r="D8" i="269"/>
  <c r="D15" i="269"/>
  <c r="D28" i="269"/>
  <c r="D31" i="269"/>
  <c r="C8" i="269"/>
  <c r="C15" i="269"/>
  <c r="C28" i="269"/>
  <c r="C31" i="269"/>
  <c r="I38" i="269"/>
  <c r="J38" i="269" s="1"/>
  <c r="I30" i="269"/>
  <c r="J30" i="269" s="1"/>
  <c r="I29" i="269"/>
  <c r="J29" i="269" s="1"/>
  <c r="A59" i="269"/>
  <c r="A56" i="269"/>
  <c r="A53" i="269"/>
  <c r="A38" i="269"/>
  <c r="A31" i="269"/>
  <c r="A29" i="269"/>
  <c r="A15" i="269"/>
  <c r="A14" i="269"/>
  <c r="A9" i="269"/>
  <c r="A8" i="269"/>
  <c r="K3" i="269"/>
  <c r="J3" i="269"/>
  <c r="I3" i="269"/>
  <c r="H3" i="269"/>
  <c r="G3" i="269"/>
  <c r="F3" i="269"/>
  <c r="E3" i="269"/>
  <c r="D3" i="269"/>
  <c r="C3" i="269"/>
  <c r="B2" i="269"/>
  <c r="A2" i="269"/>
  <c r="A63" i="269"/>
  <c r="H83" i="318"/>
  <c r="H99" i="318"/>
  <c r="G30" i="318"/>
  <c r="G46" i="318"/>
  <c r="G83" i="318"/>
  <c r="G99" i="318"/>
  <c r="F30" i="318"/>
  <c r="F46" i="318"/>
  <c r="F83" i="318"/>
  <c r="F99" i="318"/>
  <c r="G14" i="318"/>
  <c r="G67" i="318"/>
  <c r="H67" i="318"/>
  <c r="K67" i="318"/>
  <c r="K83" i="318"/>
  <c r="K84" i="318" s="1"/>
  <c r="K99" i="318"/>
  <c r="K100" i="318" s="1"/>
  <c r="E14" i="318"/>
  <c r="E30" i="318"/>
  <c r="E46" i="318"/>
  <c r="E67" i="318"/>
  <c r="E68" i="318" s="1"/>
  <c r="E83" i="318"/>
  <c r="E99" i="318"/>
  <c r="E100" i="318" s="1"/>
  <c r="D14" i="318"/>
  <c r="D30" i="318"/>
  <c r="D46" i="318"/>
  <c r="D67" i="318"/>
  <c r="D68" i="318" s="1"/>
  <c r="D83" i="318"/>
  <c r="D84" i="318" s="1"/>
  <c r="D99" i="318"/>
  <c r="D100" i="318" s="1"/>
  <c r="C83" i="318"/>
  <c r="C14" i="318"/>
  <c r="I98" i="318"/>
  <c r="J98" i="318" s="1"/>
  <c r="I97" i="318"/>
  <c r="J97" i="318" s="1"/>
  <c r="I96" i="318"/>
  <c r="J96" i="318" s="1"/>
  <c r="I95" i="318"/>
  <c r="J95" i="318" s="1"/>
  <c r="I94" i="318"/>
  <c r="J94" i="318" s="1"/>
  <c r="I93" i="318"/>
  <c r="J93" i="318" s="1"/>
  <c r="I88" i="318"/>
  <c r="J88" i="318" s="1"/>
  <c r="I87" i="318"/>
  <c r="J87" i="318" s="1"/>
  <c r="I82" i="318"/>
  <c r="J82" i="318" s="1"/>
  <c r="I81" i="318"/>
  <c r="J81" i="318" s="1"/>
  <c r="I80" i="318"/>
  <c r="J80" i="318" s="1"/>
  <c r="I79" i="318"/>
  <c r="J79" i="318" s="1"/>
  <c r="I74" i="318"/>
  <c r="J74" i="318" s="1"/>
  <c r="I73" i="318"/>
  <c r="J73" i="318" s="1"/>
  <c r="I72" i="318"/>
  <c r="J72" i="318" s="1"/>
  <c r="I71" i="318"/>
  <c r="J71" i="318" s="1"/>
  <c r="I66" i="318"/>
  <c r="J66" i="318" s="1"/>
  <c r="I65" i="318"/>
  <c r="J65" i="318" s="1"/>
  <c r="I64" i="318"/>
  <c r="J64" i="318" s="1"/>
  <c r="I62" i="318"/>
  <c r="J62" i="318" s="1"/>
  <c r="I56" i="318"/>
  <c r="J56" i="318" s="1"/>
  <c r="I55" i="318"/>
  <c r="J55" i="318" s="1"/>
  <c r="I54" i="318"/>
  <c r="J54" i="318" s="1"/>
  <c r="C30" i="318"/>
  <c r="C46" i="318"/>
  <c r="K3" i="318"/>
  <c r="J3" i="318"/>
  <c r="I3" i="318"/>
  <c r="H3" i="318"/>
  <c r="G3" i="318"/>
  <c r="F3" i="318"/>
  <c r="E3" i="318"/>
  <c r="D3" i="318"/>
  <c r="C3" i="318"/>
  <c r="B2" i="318"/>
  <c r="F14" i="318"/>
  <c r="C67" i="318"/>
  <c r="F67" i="318"/>
  <c r="C99" i="318"/>
  <c r="P21" i="317"/>
  <c r="P33" i="317" s="1"/>
  <c r="P46" i="317"/>
  <c r="P65" i="317" s="1"/>
  <c r="O21" i="317"/>
  <c r="O33" i="317" s="1"/>
  <c r="O46" i="317"/>
  <c r="O65" i="317" s="1"/>
  <c r="O55" i="317"/>
  <c r="Q21" i="317"/>
  <c r="Q33" i="317" s="1"/>
  <c r="Q46" i="317"/>
  <c r="D33" i="317"/>
  <c r="D46" i="317"/>
  <c r="C33" i="317"/>
  <c r="C46" i="317"/>
  <c r="E33" i="317"/>
  <c r="E46" i="317"/>
  <c r="F33" i="317"/>
  <c r="F46" i="317"/>
  <c r="G33" i="317"/>
  <c r="G46" i="317"/>
  <c r="G65" i="317" s="1"/>
  <c r="H33" i="317"/>
  <c r="H46" i="317"/>
  <c r="I33" i="317"/>
  <c r="I46" i="317"/>
  <c r="I65" i="317" s="1"/>
  <c r="J33" i="317"/>
  <c r="J46" i="317"/>
  <c r="J65" i="317" s="1"/>
  <c r="K33" i="317"/>
  <c r="K46" i="317"/>
  <c r="K65" i="317" s="1"/>
  <c r="L33" i="317"/>
  <c r="L46" i="317"/>
  <c r="M21" i="317"/>
  <c r="M33" i="317" s="1"/>
  <c r="M46" i="317"/>
  <c r="M65" i="317" s="1"/>
  <c r="N51" i="317"/>
  <c r="N26" i="317"/>
  <c r="N27" i="317"/>
  <c r="N28" i="317"/>
  <c r="N32" i="317"/>
  <c r="A2" i="317"/>
  <c r="B2" i="317"/>
  <c r="B46" i="317"/>
  <c r="B52" i="317" s="1"/>
  <c r="B54" i="317" s="1"/>
  <c r="A57" i="317"/>
  <c r="A6" i="323"/>
  <c r="A116" i="323"/>
  <c r="A36" i="272"/>
  <c r="A34" i="272"/>
  <c r="A30" i="272"/>
  <c r="A198" i="324"/>
  <c r="A34" i="268"/>
  <c r="A30" i="268"/>
  <c r="A174" i="323"/>
  <c r="A284" i="323"/>
  <c r="A20" i="272"/>
  <c r="A8" i="272"/>
  <c r="A24" i="272"/>
  <c r="A117" i="324"/>
  <c r="G9" i="334"/>
  <c r="I112" i="242"/>
  <c r="J112" i="242" s="1"/>
  <c r="G40" i="334"/>
  <c r="A20" i="268"/>
  <c r="A38" i="272"/>
  <c r="A328" i="323"/>
  <c r="G33" i="334"/>
  <c r="A176" i="324"/>
  <c r="A6" i="268"/>
  <c r="A7" i="324"/>
  <c r="A32" i="272"/>
  <c r="A24" i="268"/>
  <c r="I137" i="335"/>
  <c r="J137" i="335" s="1"/>
  <c r="A62" i="324"/>
  <c r="A29" i="324"/>
  <c r="A26" i="272"/>
  <c r="A28" i="323"/>
  <c r="B97" i="100"/>
  <c r="B99" i="100"/>
  <c r="B100" i="100"/>
  <c r="I115" i="335"/>
  <c r="J115" i="335" s="1"/>
  <c r="I112" i="335"/>
  <c r="J112" i="335" s="1"/>
  <c r="I69" i="335"/>
  <c r="J69" i="335" s="1"/>
  <c r="I140" i="335"/>
  <c r="J140" i="335" s="1"/>
  <c r="I156" i="335"/>
  <c r="J156" i="335" s="1"/>
  <c r="I38" i="335"/>
  <c r="J38" i="335" s="1"/>
  <c r="I27" i="335"/>
  <c r="J27" i="335" s="1"/>
  <c r="D44" i="241"/>
  <c r="D18" i="241"/>
  <c r="E17" i="241"/>
  <c r="C133" i="330"/>
  <c r="C31" i="241" s="1"/>
  <c r="C237" i="330"/>
  <c r="C47" i="241" s="1"/>
  <c r="C151" i="330"/>
  <c r="C34" i="241" s="1"/>
  <c r="C224" i="330"/>
  <c r="C198" i="330"/>
  <c r="C40" i="241" s="1"/>
  <c r="C173" i="330"/>
  <c r="C35" i="241" s="1"/>
  <c r="C209" i="330"/>
  <c r="C41" i="241" s="1"/>
  <c r="C232" i="330"/>
  <c r="C46" i="241" s="1"/>
  <c r="C228" i="330"/>
  <c r="C45" i="241" s="1"/>
  <c r="C189" i="330"/>
  <c r="C38" i="241" s="1"/>
  <c r="C242" i="330"/>
  <c r="C48" i="241" s="1"/>
  <c r="K13" i="333"/>
  <c r="D13" i="178"/>
  <c r="C36" i="267" s="1"/>
  <c r="E54" i="174"/>
  <c r="E61" i="174"/>
  <c r="A8" i="268"/>
  <c r="A240" i="323"/>
  <c r="K53" i="268"/>
  <c r="K13" i="325"/>
  <c r="D7" i="326"/>
  <c r="K38" i="333"/>
  <c r="C111" i="242"/>
  <c r="F54" i="174"/>
  <c r="F61" i="174"/>
  <c r="E13" i="178"/>
  <c r="K132" i="335"/>
  <c r="I142" i="335"/>
  <c r="J142" i="335" s="1"/>
  <c r="K112" i="335"/>
  <c r="D7" i="335"/>
  <c r="C111" i="326"/>
  <c r="D75" i="326"/>
  <c r="C75" i="326"/>
  <c r="I295" i="323"/>
  <c r="J295" i="323" s="1"/>
  <c r="C17" i="241"/>
  <c r="G7" i="241"/>
  <c r="I36" i="272" l="1"/>
  <c r="J36" i="272" s="1"/>
  <c r="A1" i="331"/>
  <c r="A14" i="268"/>
  <c r="E75" i="333"/>
  <c r="J63" i="238"/>
  <c r="B78" i="100"/>
  <c r="I69" i="242"/>
  <c r="J69" i="242" s="1"/>
  <c r="I115" i="242"/>
  <c r="J115" i="242" s="1"/>
  <c r="G33" i="272"/>
  <c r="I33" i="272" s="1"/>
  <c r="J33" i="272" s="1"/>
  <c r="A50" i="323"/>
  <c r="I162" i="242"/>
  <c r="J162" i="242" s="1"/>
  <c r="E75" i="326"/>
  <c r="K69" i="333"/>
  <c r="K76" i="333"/>
  <c r="K132" i="333"/>
  <c r="K99" i="335"/>
  <c r="B96" i="100"/>
  <c r="K93" i="330"/>
  <c r="K19" i="241" s="1"/>
  <c r="I53" i="242"/>
  <c r="J53" i="242" s="1"/>
  <c r="A17" i="272"/>
  <c r="H40" i="174"/>
  <c r="A127" i="323"/>
  <c r="D74" i="268"/>
  <c r="A9" i="268"/>
  <c r="A262" i="323"/>
  <c r="A18" i="268"/>
  <c r="A51" i="324"/>
  <c r="I45" i="335"/>
  <c r="J45" i="335" s="1"/>
  <c r="K99" i="242"/>
  <c r="D6" i="241"/>
  <c r="E111" i="325"/>
  <c r="K28" i="323"/>
  <c r="K8" i="272" s="1"/>
  <c r="D119" i="335"/>
  <c r="I159" i="326"/>
  <c r="J159" i="326" s="1"/>
  <c r="I264" i="324"/>
  <c r="I32" i="268" s="1"/>
  <c r="J32" i="268" s="1"/>
  <c r="E29" i="334"/>
  <c r="C75" i="325"/>
  <c r="K17" i="323"/>
  <c r="K7" i="272" s="1"/>
  <c r="H49" i="174"/>
  <c r="H10" i="174" s="1"/>
  <c r="A264" i="324"/>
  <c r="K45" i="326"/>
  <c r="K115" i="326"/>
  <c r="K142" i="335"/>
  <c r="C7" i="242"/>
  <c r="E15" i="318"/>
  <c r="I319" i="324"/>
  <c r="I37" i="268" s="1"/>
  <c r="J37" i="268" s="1"/>
  <c r="A28" i="268"/>
  <c r="A10" i="268"/>
  <c r="A14" i="272"/>
  <c r="D53" i="182"/>
  <c r="H74" i="268"/>
  <c r="A13" i="272"/>
  <c r="A308" i="324"/>
  <c r="G111" i="325"/>
  <c r="I13" i="326"/>
  <c r="J13" i="326" s="1"/>
  <c r="E7" i="335"/>
  <c r="K8" i="325"/>
  <c r="H115" i="333"/>
  <c r="I115" i="333" s="1"/>
  <c r="J115" i="333" s="1"/>
  <c r="K17" i="326"/>
  <c r="E7" i="326"/>
  <c r="E7" i="242"/>
  <c r="I308" i="324"/>
  <c r="J308" i="324" s="1"/>
  <c r="K70" i="268"/>
  <c r="J29" i="267" s="1"/>
  <c r="J21" i="267"/>
  <c r="K61" i="323"/>
  <c r="K11" i="272" s="1"/>
  <c r="I139" i="324"/>
  <c r="J139" i="324" s="1"/>
  <c r="A207" i="323"/>
  <c r="A13" i="268"/>
  <c r="A251" i="323"/>
  <c r="A209" i="324"/>
  <c r="F39" i="334"/>
  <c r="G39" i="334" s="1"/>
  <c r="F8" i="334"/>
  <c r="G8" i="334" s="1"/>
  <c r="A187" i="324"/>
  <c r="A15" i="268"/>
  <c r="G38" i="181"/>
  <c r="G42" i="181" s="1"/>
  <c r="G44" i="181" s="1"/>
  <c r="I17" i="272"/>
  <c r="J17" i="272" s="1"/>
  <c r="E119" i="242"/>
  <c r="I76" i="242"/>
  <c r="J76" i="242" s="1"/>
  <c r="I140" i="242"/>
  <c r="J140" i="242" s="1"/>
  <c r="F48" i="334"/>
  <c r="G48" i="334" s="1"/>
  <c r="A29" i="272"/>
  <c r="A40" i="324"/>
  <c r="A25" i="268"/>
  <c r="A25" i="272"/>
  <c r="F49" i="174"/>
  <c r="F10" i="174" s="1"/>
  <c r="I160" i="323"/>
  <c r="J160" i="323" s="1"/>
  <c r="A11" i="272"/>
  <c r="A297" i="324"/>
  <c r="A273" i="323"/>
  <c r="A128" i="324"/>
  <c r="E31" i="318"/>
  <c r="B36" i="267"/>
  <c r="A196" i="323"/>
  <c r="I275" i="324"/>
  <c r="J275" i="324" s="1"/>
  <c r="I138" i="323"/>
  <c r="J138" i="323" s="1"/>
  <c r="A231" i="324"/>
  <c r="A84" i="324"/>
  <c r="F32" i="334"/>
  <c r="G32" i="334" s="1"/>
  <c r="F45" i="334"/>
  <c r="G45" i="334" s="1"/>
  <c r="A16" i="272"/>
  <c r="A185" i="323"/>
  <c r="A7" i="268"/>
  <c r="A286" i="324"/>
  <c r="K112" i="242"/>
  <c r="I13" i="272"/>
  <c r="J13" i="272" s="1"/>
  <c r="S342" i="324"/>
  <c r="K50" i="323"/>
  <c r="K10" i="272" s="1"/>
  <c r="G32" i="268"/>
  <c r="D29" i="267"/>
  <c r="D33" i="267" s="1"/>
  <c r="I57" i="269"/>
  <c r="J57" i="269" s="1"/>
  <c r="L342" i="324"/>
  <c r="K86" i="330"/>
  <c r="K18" i="241" s="1"/>
  <c r="K101" i="330"/>
  <c r="K21" i="241" s="1"/>
  <c r="U342" i="324"/>
  <c r="I149" i="323"/>
  <c r="J149" i="323" s="1"/>
  <c r="C29" i="334"/>
  <c r="I99" i="326"/>
  <c r="J99" i="326" s="1"/>
  <c r="D26" i="175"/>
  <c r="E29" i="241"/>
  <c r="E339" i="323"/>
  <c r="E348" i="323" s="1"/>
  <c r="I26" i="182"/>
  <c r="J26" i="182" s="1"/>
  <c r="J9" i="267"/>
  <c r="H25" i="330"/>
  <c r="H9" i="241" s="1"/>
  <c r="I9" i="241" s="1"/>
  <c r="J9" i="241" s="1"/>
  <c r="H174" i="323"/>
  <c r="I174" i="323" s="1"/>
  <c r="J174" i="323" s="1"/>
  <c r="D41" i="178"/>
  <c r="E74" i="330"/>
  <c r="B77" i="100"/>
  <c r="I306" i="323"/>
  <c r="J306" i="323" s="1"/>
  <c r="I105" i="323"/>
  <c r="J105" i="323" s="1"/>
  <c r="D49" i="174"/>
  <c r="D10" i="174" s="1"/>
  <c r="P52" i="317"/>
  <c r="P54" i="317" s="1"/>
  <c r="P66" i="317" s="1"/>
  <c r="I242" i="324"/>
  <c r="I30" i="268" s="1"/>
  <c r="J30" i="268" s="1"/>
  <c r="I32" i="272"/>
  <c r="J32" i="272" s="1"/>
  <c r="B94" i="100"/>
  <c r="A161" i="324"/>
  <c r="A139" i="324"/>
  <c r="D74" i="330"/>
  <c r="F55" i="174"/>
  <c r="F27" i="174" s="1"/>
  <c r="C38" i="267"/>
  <c r="I150" i="324"/>
  <c r="J150" i="324" s="1"/>
  <c r="D6" i="330"/>
  <c r="B95" i="100"/>
  <c r="B93" i="100"/>
  <c r="J36" i="267"/>
  <c r="D28" i="174"/>
  <c r="K38" i="181"/>
  <c r="K42" i="181" s="1"/>
  <c r="K44" i="181" s="1"/>
  <c r="B98" i="100"/>
  <c r="I262" i="323"/>
  <c r="J262" i="323" s="1"/>
  <c r="I112" i="326"/>
  <c r="J112" i="326" s="1"/>
  <c r="G111" i="326"/>
  <c r="I17" i="335"/>
  <c r="J17" i="335" s="1"/>
  <c r="I99" i="242"/>
  <c r="J99" i="242" s="1"/>
  <c r="F111" i="242"/>
  <c r="H119" i="242"/>
  <c r="I119" i="242" s="1"/>
  <c r="J119" i="242" s="1"/>
  <c r="G22" i="267"/>
  <c r="H22" i="267" s="1"/>
  <c r="I22" i="267" s="1"/>
  <c r="H111" i="242"/>
  <c r="I6" i="268"/>
  <c r="J6" i="268" s="1"/>
  <c r="I17" i="268"/>
  <c r="J17" i="268" s="1"/>
  <c r="A317" i="323"/>
  <c r="I15" i="272"/>
  <c r="J15" i="272" s="1"/>
  <c r="K53" i="242"/>
  <c r="K63" i="242"/>
  <c r="I16" i="272"/>
  <c r="J16" i="272" s="1"/>
  <c r="I52" i="317"/>
  <c r="I54" i="317" s="1"/>
  <c r="I66" i="317" s="1"/>
  <c r="I7" i="324"/>
  <c r="J7" i="324" s="1"/>
  <c r="I53" i="268"/>
  <c r="J53" i="268" s="1"/>
  <c r="A19" i="268"/>
  <c r="H52" i="317"/>
  <c r="H54" i="317" s="1"/>
  <c r="H66" i="317" s="1"/>
  <c r="H65" i="317"/>
  <c r="C52" i="317"/>
  <c r="C65" i="317"/>
  <c r="I53" i="326"/>
  <c r="J53" i="326" s="1"/>
  <c r="K186" i="330"/>
  <c r="K37" i="241" s="1"/>
  <c r="K228" i="330"/>
  <c r="K45" i="241" s="1"/>
  <c r="F52" i="317"/>
  <c r="F65" i="317"/>
  <c r="A319" i="324"/>
  <c r="A19" i="272"/>
  <c r="I127" i="323"/>
  <c r="J127" i="323" s="1"/>
  <c r="C33" i="267"/>
  <c r="I28" i="177"/>
  <c r="J28" i="177" s="1"/>
  <c r="A37" i="272"/>
  <c r="L52" i="317"/>
  <c r="L54" i="317" s="1"/>
  <c r="L66" i="317" s="1"/>
  <c r="L65" i="317"/>
  <c r="D17" i="174"/>
  <c r="F31" i="183"/>
  <c r="D11" i="267"/>
  <c r="B83" i="100"/>
  <c r="A1" i="177" s="1"/>
  <c r="I330" i="324"/>
  <c r="J330" i="324" s="1"/>
  <c r="C74" i="268"/>
  <c r="B20" i="180" s="1"/>
  <c r="I286" i="324"/>
  <c r="J286" i="324" s="1"/>
  <c r="C53" i="182"/>
  <c r="A150" i="324"/>
  <c r="D47" i="318"/>
  <c r="Q342" i="324"/>
  <c r="I18" i="268"/>
  <c r="J18" i="268" s="1"/>
  <c r="Q52" i="317"/>
  <c r="Q54" i="317" s="1"/>
  <c r="Q66" i="317" s="1"/>
  <c r="Q65" i="317"/>
  <c r="I128" i="324"/>
  <c r="J128" i="324" s="1"/>
  <c r="A149" i="323"/>
  <c r="D52" i="317"/>
  <c r="D65" i="317"/>
  <c r="G26" i="175"/>
  <c r="F50" i="267"/>
  <c r="I15" i="268"/>
  <c r="J15" i="268" s="1"/>
  <c r="K216" i="330"/>
  <c r="K42" i="241" s="1"/>
  <c r="K232" i="330"/>
  <c r="K46" i="241" s="1"/>
  <c r="K242" i="330"/>
  <c r="K48" i="241" s="1"/>
  <c r="K7" i="324"/>
  <c r="K6" i="268" s="1"/>
  <c r="K176" i="324"/>
  <c r="K24" i="268" s="1"/>
  <c r="K13" i="242"/>
  <c r="D16" i="241"/>
  <c r="I30" i="272"/>
  <c r="J30" i="272" s="1"/>
  <c r="D29" i="241"/>
  <c r="I137" i="333"/>
  <c r="J137" i="333" s="1"/>
  <c r="I13" i="335"/>
  <c r="J13" i="335" s="1"/>
  <c r="K174" i="323"/>
  <c r="K24" i="272" s="1"/>
  <c r="K115" i="333"/>
  <c r="J22" i="267"/>
  <c r="I120" i="335"/>
  <c r="J120" i="335" s="1"/>
  <c r="I76" i="326"/>
  <c r="J76" i="326" s="1"/>
  <c r="E223" i="330"/>
  <c r="D223" i="330"/>
  <c r="D129" i="330"/>
  <c r="F150" i="330"/>
  <c r="G35" i="241"/>
  <c r="G150" i="330"/>
  <c r="E27" i="330"/>
  <c r="C20" i="241"/>
  <c r="C74" i="330"/>
  <c r="C6" i="330"/>
  <c r="X38" i="329"/>
  <c r="B12" i="100"/>
  <c r="O3" i="317" s="1"/>
  <c r="A32" i="268"/>
  <c r="A95" i="324"/>
  <c r="A12" i="268"/>
  <c r="A72" i="323"/>
  <c r="A242" i="324"/>
  <c r="A12" i="272"/>
  <c r="A10" i="272"/>
  <c r="A28" i="272"/>
  <c r="A218" i="323"/>
  <c r="B14" i="100"/>
  <c r="Q3" i="317" s="1"/>
  <c r="B13" i="100"/>
  <c r="P3" i="317" s="1"/>
  <c r="D171" i="323"/>
  <c r="D347" i="323" s="1"/>
  <c r="E31" i="183"/>
  <c r="D50" i="267"/>
  <c r="D41" i="241"/>
  <c r="D39" i="241" s="1"/>
  <c r="D197" i="330"/>
  <c r="D22" i="241"/>
  <c r="D20" i="241" s="1"/>
  <c r="D100" i="330"/>
  <c r="E39" i="268"/>
  <c r="I31" i="272"/>
  <c r="J31" i="272" s="1"/>
  <c r="A160" i="323"/>
  <c r="A38" i="268"/>
  <c r="A36" i="268"/>
  <c r="A306" i="323"/>
  <c r="A18" i="272"/>
  <c r="H13" i="268"/>
  <c r="I13" i="268" s="1"/>
  <c r="J13" i="268" s="1"/>
  <c r="I84" i="324"/>
  <c r="J84" i="324" s="1"/>
  <c r="C18" i="267"/>
  <c r="C19" i="267" s="1"/>
  <c r="A295" i="323"/>
  <c r="A17" i="268"/>
  <c r="A35" i="268"/>
  <c r="A105" i="323"/>
  <c r="A106" i="324"/>
  <c r="A33" i="272"/>
  <c r="A253" i="324"/>
  <c r="A83" i="323"/>
  <c r="A31" i="268"/>
  <c r="A229" i="323"/>
  <c r="A11" i="268"/>
  <c r="A61" i="323"/>
  <c r="A27" i="268"/>
  <c r="A39" i="323"/>
  <c r="A9" i="272"/>
  <c r="A17" i="323"/>
  <c r="A7" i="272"/>
  <c r="B2" i="100"/>
  <c r="C2" i="324" s="1"/>
  <c r="E47" i="318"/>
  <c r="C39" i="177"/>
  <c r="C41" i="177" s="1"/>
  <c r="B46" i="267" s="1"/>
  <c r="B5" i="100"/>
  <c r="O2" i="317" s="1"/>
  <c r="B3" i="100"/>
  <c r="D2" i="270" s="1"/>
  <c r="B4" i="100"/>
  <c r="B102" i="100" s="1"/>
  <c r="A1" i="172" s="1"/>
  <c r="F26" i="175"/>
  <c r="N342" i="324"/>
  <c r="P342" i="324"/>
  <c r="B82" i="100"/>
  <c r="B79" i="100"/>
  <c r="B80" i="100"/>
  <c r="A1" i="182" s="1"/>
  <c r="G28" i="334"/>
  <c r="F26" i="334"/>
  <c r="G26" i="334" s="1"/>
  <c r="F16" i="334"/>
  <c r="G16" i="334" s="1"/>
  <c r="I115" i="326"/>
  <c r="J115" i="326" s="1"/>
  <c r="G75" i="333"/>
  <c r="F119" i="333"/>
  <c r="I8" i="326"/>
  <c r="J8" i="326" s="1"/>
  <c r="G111" i="335"/>
  <c r="E14" i="174"/>
  <c r="C20" i="180"/>
  <c r="E16" i="241"/>
  <c r="I19" i="268"/>
  <c r="J19" i="268" s="1"/>
  <c r="W342" i="324"/>
  <c r="D38" i="182"/>
  <c r="D42" i="182" s="1"/>
  <c r="D44" i="182" s="1"/>
  <c r="D46" i="182" s="1"/>
  <c r="D48" i="182" s="1"/>
  <c r="I104" i="326"/>
  <c r="J104" i="326" s="1"/>
  <c r="K40" i="324"/>
  <c r="K9" i="268" s="1"/>
  <c r="K220" i="324"/>
  <c r="K28" i="268" s="1"/>
  <c r="K14" i="318"/>
  <c r="K15" i="318" s="1"/>
  <c r="K115" i="242"/>
  <c r="K111" i="242" s="1"/>
  <c r="I8" i="335"/>
  <c r="J8" i="335" s="1"/>
  <c r="F119" i="242"/>
  <c r="F111" i="325"/>
  <c r="F111" i="333"/>
  <c r="K109" i="330"/>
  <c r="K23" i="241" s="1"/>
  <c r="K119" i="330"/>
  <c r="K25" i="241" s="1"/>
  <c r="K209" i="330"/>
  <c r="K41" i="241" s="1"/>
  <c r="K187" i="324"/>
  <c r="K25" i="268" s="1"/>
  <c r="I99" i="335"/>
  <c r="J99" i="335" s="1"/>
  <c r="G52" i="317"/>
  <c r="G54" i="317" s="1"/>
  <c r="G66" i="317" s="1"/>
  <c r="M52" i="317"/>
  <c r="M54" i="317" s="1"/>
  <c r="M66" i="317" s="1"/>
  <c r="D7" i="174"/>
  <c r="D38" i="267"/>
  <c r="E39" i="241"/>
  <c r="E33" i="241"/>
  <c r="C7" i="333"/>
  <c r="I29" i="183"/>
  <c r="J29" i="183" s="1"/>
  <c r="D38" i="181"/>
  <c r="D42" i="181" s="1"/>
  <c r="D44" i="181" s="1"/>
  <c r="B53" i="172"/>
  <c r="T342" i="324"/>
  <c r="C11" i="267"/>
  <c r="F14" i="174"/>
  <c r="B81" i="100"/>
  <c r="A1" i="324" s="1"/>
  <c r="K179" i="330"/>
  <c r="K36" i="241" s="1"/>
  <c r="K189" i="330"/>
  <c r="K38" i="241" s="1"/>
  <c r="J7" i="267"/>
  <c r="J10" i="267"/>
  <c r="K36" i="182"/>
  <c r="H45" i="174" s="1"/>
  <c r="K38" i="325"/>
  <c r="C111" i="335"/>
  <c r="C27" i="330"/>
  <c r="C100" i="330"/>
  <c r="E43" i="241"/>
  <c r="A15" i="272"/>
  <c r="D21" i="272"/>
  <c r="D45" i="272" s="1"/>
  <c r="D29" i="334"/>
  <c r="G119" i="326"/>
  <c r="K185" i="323"/>
  <c r="K25" i="272" s="1"/>
  <c r="K196" i="323"/>
  <c r="K26" i="272" s="1"/>
  <c r="K207" i="323"/>
  <c r="K27" i="272" s="1"/>
  <c r="K218" i="323"/>
  <c r="K28" i="272" s="1"/>
  <c r="K229" i="323"/>
  <c r="K29" i="272" s="1"/>
  <c r="D75" i="335"/>
  <c r="D111" i="335"/>
  <c r="C339" i="323"/>
  <c r="C348" i="323" s="1"/>
  <c r="J319" i="324"/>
  <c r="I251" i="323"/>
  <c r="J251" i="323" s="1"/>
  <c r="A48" i="334"/>
  <c r="I12" i="268"/>
  <c r="J12" i="268" s="1"/>
  <c r="I297" i="324"/>
  <c r="I35" i="268" s="1"/>
  <c r="J35" i="268" s="1"/>
  <c r="A275" i="324"/>
  <c r="C16" i="241"/>
  <c r="I117" i="324"/>
  <c r="J117" i="324" s="1"/>
  <c r="D341" i="324"/>
  <c r="I73" i="324"/>
  <c r="J73" i="324" s="1"/>
  <c r="I240" i="323"/>
  <c r="J240" i="323" s="1"/>
  <c r="I16" i="268"/>
  <c r="J16" i="268" s="1"/>
  <c r="H44" i="267"/>
  <c r="I44" i="267" s="1"/>
  <c r="I36" i="181"/>
  <c r="J36" i="181" s="1"/>
  <c r="E21" i="272"/>
  <c r="E45" i="272" s="1"/>
  <c r="C39" i="272"/>
  <c r="C46" i="272" s="1"/>
  <c r="K63" i="330"/>
  <c r="K14" i="241" s="1"/>
  <c r="J52" i="317"/>
  <c r="J54" i="317" s="1"/>
  <c r="J66" i="317" s="1"/>
  <c r="C106" i="318"/>
  <c r="C109" i="318" s="1"/>
  <c r="D39" i="272"/>
  <c r="D46" i="272" s="1"/>
  <c r="E39" i="272"/>
  <c r="E46" i="272" s="1"/>
  <c r="I153" i="326"/>
  <c r="J153" i="326" s="1"/>
  <c r="C7" i="325"/>
  <c r="K39" i="323"/>
  <c r="K9" i="272" s="1"/>
  <c r="K21" i="272" s="1"/>
  <c r="J16" i="267"/>
  <c r="D119" i="242"/>
  <c r="D15" i="318"/>
  <c r="D39" i="270"/>
  <c r="H11" i="174"/>
  <c r="D31" i="183"/>
  <c r="F38" i="181"/>
  <c r="F42" i="181" s="1"/>
  <c r="F44" i="181" s="1"/>
  <c r="C39" i="268"/>
  <c r="D39" i="268"/>
  <c r="F7" i="333"/>
  <c r="F75" i="335"/>
  <c r="I153" i="335"/>
  <c r="J153" i="335" s="1"/>
  <c r="I104" i="242"/>
  <c r="J104" i="242" s="1"/>
  <c r="J6" i="180"/>
  <c r="E21" i="268"/>
  <c r="I14" i="268"/>
  <c r="J14" i="268" s="1"/>
  <c r="I106" i="324"/>
  <c r="J106" i="324" s="1"/>
  <c r="K53" i="326"/>
  <c r="K120" i="326"/>
  <c r="K142" i="326"/>
  <c r="K140" i="326" s="1"/>
  <c r="K8" i="333"/>
  <c r="K17" i="333"/>
  <c r="K45" i="333"/>
  <c r="K53" i="333"/>
  <c r="K63" i="333"/>
  <c r="K120" i="333"/>
  <c r="K119" i="333" s="1"/>
  <c r="I43" i="183"/>
  <c r="J43" i="183" s="1"/>
  <c r="C38" i="181"/>
  <c r="C42" i="181" s="1"/>
  <c r="C44" i="181" s="1"/>
  <c r="K56" i="330"/>
  <c r="K13" i="241" s="1"/>
  <c r="E75" i="242"/>
  <c r="K8" i="326"/>
  <c r="K27" i="326"/>
  <c r="K63" i="326"/>
  <c r="K38" i="335"/>
  <c r="K53" i="335"/>
  <c r="K104" i="335"/>
  <c r="K140" i="335"/>
  <c r="I162" i="335"/>
  <c r="J162" i="335" s="1"/>
  <c r="I8" i="268"/>
  <c r="J8" i="268" s="1"/>
  <c r="I29" i="324"/>
  <c r="J29" i="324" s="1"/>
  <c r="I7" i="268"/>
  <c r="J7" i="268" s="1"/>
  <c r="F119" i="335"/>
  <c r="I150" i="326"/>
  <c r="J150" i="326" s="1"/>
  <c r="I142" i="242"/>
  <c r="J142" i="242" s="1"/>
  <c r="I156" i="242"/>
  <c r="J156" i="242" s="1"/>
  <c r="D75" i="325"/>
  <c r="H156" i="325"/>
  <c r="I156" i="325" s="1"/>
  <c r="J156" i="325" s="1"/>
  <c r="K27" i="325"/>
  <c r="K53" i="325"/>
  <c r="K63" i="325"/>
  <c r="K132" i="325"/>
  <c r="K142" i="325"/>
  <c r="K140" i="325" s="1"/>
  <c r="K76" i="325"/>
  <c r="K115" i="325"/>
  <c r="G119" i="325"/>
  <c r="H159" i="333"/>
  <c r="I159" i="333" s="1"/>
  <c r="J159" i="333" s="1"/>
  <c r="H69" i="333"/>
  <c r="I69" i="333" s="1"/>
  <c r="J69" i="333" s="1"/>
  <c r="G6" i="241"/>
  <c r="G7" i="174"/>
  <c r="G16" i="267"/>
  <c r="H16" i="267" s="1"/>
  <c r="I16" i="267" s="1"/>
  <c r="I42" i="270"/>
  <c r="J42" i="270" s="1"/>
  <c r="C33" i="241"/>
  <c r="D10" i="241"/>
  <c r="D49" i="318"/>
  <c r="K17" i="325"/>
  <c r="C49" i="318"/>
  <c r="B18" i="267"/>
  <c r="B19" i="267" s="1"/>
  <c r="C11" i="241"/>
  <c r="C10" i="241" s="1"/>
  <c r="C129" i="330"/>
  <c r="G172" i="324"/>
  <c r="I253" i="324"/>
  <c r="C39" i="241"/>
  <c r="D43" i="241"/>
  <c r="G75" i="326"/>
  <c r="E102" i="318"/>
  <c r="I28" i="270"/>
  <c r="J28" i="270" s="1"/>
  <c r="M342" i="324"/>
  <c r="O52" i="317"/>
  <c r="O54" i="317" s="1"/>
  <c r="O66" i="317" s="1"/>
  <c r="F23" i="334"/>
  <c r="G23" i="334" s="1"/>
  <c r="D20" i="180"/>
  <c r="C111" i="333"/>
  <c r="C172" i="324"/>
  <c r="I20" i="272"/>
  <c r="J20" i="272" s="1"/>
  <c r="D111" i="242"/>
  <c r="D172" i="324"/>
  <c r="C38" i="182"/>
  <c r="C42" i="182" s="1"/>
  <c r="C44" i="182" s="1"/>
  <c r="C46" i="182" s="1"/>
  <c r="C48" i="182" s="1"/>
  <c r="C171" i="323"/>
  <c r="C341" i="324"/>
  <c r="E171" i="323"/>
  <c r="E347" i="323" s="1"/>
  <c r="I317" i="323"/>
  <c r="J317" i="323" s="1"/>
  <c r="H53" i="174"/>
  <c r="H14" i="174" s="1"/>
  <c r="E106" i="318"/>
  <c r="E109" i="318" s="1"/>
  <c r="C21" i="268"/>
  <c r="D27" i="330"/>
  <c r="B4" i="331"/>
  <c r="B8" i="331" s="1"/>
  <c r="G106" i="318"/>
  <c r="G109" i="318" s="1"/>
  <c r="C31" i="183"/>
  <c r="H32" i="267"/>
  <c r="I32" i="267" s="1"/>
  <c r="D51" i="334"/>
  <c r="K237" i="330"/>
  <c r="K47" i="241" s="1"/>
  <c r="D7" i="333"/>
  <c r="D75" i="333"/>
  <c r="I76" i="335"/>
  <c r="J76" i="335" s="1"/>
  <c r="K39" i="270"/>
  <c r="A47" i="269"/>
  <c r="G38" i="268"/>
  <c r="E197" i="330"/>
  <c r="D339" i="323"/>
  <c r="D348" i="323" s="1"/>
  <c r="J31" i="267"/>
  <c r="A1" i="328"/>
  <c r="C21" i="272"/>
  <c r="C45" i="272" s="1"/>
  <c r="I132" i="326"/>
  <c r="J132" i="326" s="1"/>
  <c r="K102" i="318"/>
  <c r="D21" i="268"/>
  <c r="C150" i="330"/>
  <c r="K111" i="333"/>
  <c r="I95" i="324"/>
  <c r="J95" i="324" s="1"/>
  <c r="E172" i="324"/>
  <c r="D150" i="330"/>
  <c r="E150" i="330"/>
  <c r="D106" i="318"/>
  <c r="D109" i="318" s="1"/>
  <c r="K50" i="330"/>
  <c r="K12" i="241" s="1"/>
  <c r="H44" i="174"/>
  <c r="J13" i="267"/>
  <c r="I150" i="242"/>
  <c r="J150" i="242" s="1"/>
  <c r="H102" i="318"/>
  <c r="E26" i="175"/>
  <c r="I38" i="326"/>
  <c r="J38" i="326" s="1"/>
  <c r="K7" i="330"/>
  <c r="K7" i="241" s="1"/>
  <c r="K114" i="330"/>
  <c r="K24" i="241" s="1"/>
  <c r="K173" i="330"/>
  <c r="K35" i="241" s="1"/>
  <c r="I53" i="335"/>
  <c r="J53" i="335" s="1"/>
  <c r="C75" i="242"/>
  <c r="K39" i="177"/>
  <c r="E129" i="330"/>
  <c r="C119" i="325"/>
  <c r="K57" i="268"/>
  <c r="F7" i="174"/>
  <c r="G31" i="183"/>
  <c r="D63" i="268"/>
  <c r="I63" i="238"/>
  <c r="I63" i="326"/>
  <c r="J63" i="326" s="1"/>
  <c r="I165" i="326"/>
  <c r="J165" i="326" s="1"/>
  <c r="I138" i="333"/>
  <c r="J138" i="333" s="1"/>
  <c r="G111" i="242"/>
  <c r="G7" i="267"/>
  <c r="H7" i="267" s="1"/>
  <c r="I7" i="267" s="1"/>
  <c r="E119" i="325"/>
  <c r="K69" i="335"/>
  <c r="I69" i="326"/>
  <c r="J69" i="326" s="1"/>
  <c r="K198" i="330"/>
  <c r="E111" i="326"/>
  <c r="D111" i="325"/>
  <c r="D111" i="333"/>
  <c r="K17" i="242"/>
  <c r="K132" i="242"/>
  <c r="K132" i="326"/>
  <c r="K69" i="325"/>
  <c r="K99" i="333"/>
  <c r="K75" i="333" s="1"/>
  <c r="I159" i="335"/>
  <c r="J159" i="335" s="1"/>
  <c r="I45" i="242"/>
  <c r="J45" i="242" s="1"/>
  <c r="C119" i="242"/>
  <c r="C119" i="326"/>
  <c r="H63" i="238"/>
  <c r="E50" i="267"/>
  <c r="C26" i="175"/>
  <c r="I45" i="326"/>
  <c r="J45" i="326" s="1"/>
  <c r="G75" i="242"/>
  <c r="H75" i="242"/>
  <c r="E29" i="267"/>
  <c r="E33" i="267" s="1"/>
  <c r="I57" i="268"/>
  <c r="J57" i="268" s="1"/>
  <c r="I47" i="268"/>
  <c r="J47" i="268" s="1"/>
  <c r="H63" i="268"/>
  <c r="I43" i="268"/>
  <c r="J43" i="268" s="1"/>
  <c r="H172" i="324"/>
  <c r="I187" i="324"/>
  <c r="J187" i="324" s="1"/>
  <c r="G341" i="324"/>
  <c r="I176" i="324"/>
  <c r="H112" i="325"/>
  <c r="I112" i="325" s="1"/>
  <c r="J112" i="325" s="1"/>
  <c r="H162" i="325"/>
  <c r="I162" i="325" s="1"/>
  <c r="J162" i="325" s="1"/>
  <c r="H115" i="325"/>
  <c r="I115" i="325" s="1"/>
  <c r="J115" i="325" s="1"/>
  <c r="H159" i="325"/>
  <c r="I159" i="325" s="1"/>
  <c r="J159" i="325" s="1"/>
  <c r="H8" i="325"/>
  <c r="I8" i="325" s="1"/>
  <c r="J8" i="325" s="1"/>
  <c r="H99" i="325"/>
  <c r="I99" i="325" s="1"/>
  <c r="J99" i="325" s="1"/>
  <c r="G75" i="325"/>
  <c r="G6" i="330"/>
  <c r="H156" i="333"/>
  <c r="I156" i="333" s="1"/>
  <c r="J156" i="333" s="1"/>
  <c r="H142" i="333"/>
  <c r="I142" i="333" s="1"/>
  <c r="J142" i="333" s="1"/>
  <c r="H63" i="333"/>
  <c r="I63" i="333" s="1"/>
  <c r="J63" i="333" s="1"/>
  <c r="K22" i="182"/>
  <c r="I19" i="182"/>
  <c r="J19" i="182" s="1"/>
  <c r="F26" i="174"/>
  <c r="H9" i="267"/>
  <c r="I9" i="267" s="1"/>
  <c r="H12" i="267"/>
  <c r="I12" i="267" s="1"/>
  <c r="H13" i="267"/>
  <c r="I13" i="267" s="1"/>
  <c r="G339" i="323"/>
  <c r="G348" i="323" s="1"/>
  <c r="G24" i="272"/>
  <c r="G39" i="272" s="1"/>
  <c r="G46" i="272" s="1"/>
  <c r="G171" i="323"/>
  <c r="G347" i="323" s="1"/>
  <c r="H186" i="330"/>
  <c r="H37" i="241" s="1"/>
  <c r="I37" i="241" s="1"/>
  <c r="J37" i="241" s="1"/>
  <c r="H101" i="330"/>
  <c r="I101" i="330" s="1"/>
  <c r="J101" i="330" s="1"/>
  <c r="G15" i="267"/>
  <c r="H15" i="267" s="1"/>
  <c r="I15" i="267" s="1"/>
  <c r="I7" i="182"/>
  <c r="J7" i="182" s="1"/>
  <c r="I25" i="182"/>
  <c r="J25" i="182" s="1"/>
  <c r="I6" i="182"/>
  <c r="J6" i="182" s="1"/>
  <c r="I33" i="182"/>
  <c r="J33" i="182" s="1"/>
  <c r="G21" i="267"/>
  <c r="H21" i="267" s="1"/>
  <c r="I21" i="267" s="1"/>
  <c r="I40" i="182"/>
  <c r="J40" i="182" s="1"/>
  <c r="H218" i="323"/>
  <c r="I218" i="323" s="1"/>
  <c r="J218" i="323" s="1"/>
  <c r="H39" i="323"/>
  <c r="I39" i="323" s="1"/>
  <c r="J39" i="323" s="1"/>
  <c r="H6" i="323"/>
  <c r="H6" i="272" s="1"/>
  <c r="I6" i="272" s="1"/>
  <c r="H28" i="323"/>
  <c r="I28" i="323" s="1"/>
  <c r="J28" i="323" s="1"/>
  <c r="A1" i="330"/>
  <c r="A1" i="251"/>
  <c r="A1" i="272"/>
  <c r="A1" i="267"/>
  <c r="A1" i="178"/>
  <c r="B61" i="100"/>
  <c r="A1" i="333" s="1"/>
  <c r="F64" i="270"/>
  <c r="C64" i="270"/>
  <c r="K64" i="270"/>
  <c r="G39" i="270"/>
  <c r="E49" i="174"/>
  <c r="E10" i="174" s="1"/>
  <c r="D11" i="174"/>
  <c r="F11" i="174"/>
  <c r="E41" i="178"/>
  <c r="D26" i="178"/>
  <c r="E52" i="174"/>
  <c r="E13" i="174" s="1"/>
  <c r="C26" i="178"/>
  <c r="D39" i="174" s="1"/>
  <c r="F39" i="177"/>
  <c r="F39" i="270"/>
  <c r="A1" i="241"/>
  <c r="C102" i="318"/>
  <c r="I83" i="318"/>
  <c r="J83" i="318" s="1"/>
  <c r="I57" i="270"/>
  <c r="J57" i="270" s="1"/>
  <c r="E11" i="174"/>
  <c r="E38" i="181"/>
  <c r="E42" i="181" s="1"/>
  <c r="E44" i="181" s="1"/>
  <c r="G41" i="178"/>
  <c r="J39" i="267"/>
  <c r="D31" i="318"/>
  <c r="C6" i="241"/>
  <c r="C29" i="241"/>
  <c r="K52" i="317"/>
  <c r="K54" i="317" s="1"/>
  <c r="K66" i="317" s="1"/>
  <c r="F49" i="318"/>
  <c r="E49" i="318"/>
  <c r="C39" i="269"/>
  <c r="E7" i="174"/>
  <c r="D39" i="177"/>
  <c r="D41" i="177" s="1"/>
  <c r="C46" i="267" s="1"/>
  <c r="K31" i="183"/>
  <c r="C54" i="317"/>
  <c r="E84" i="318"/>
  <c r="I99" i="318"/>
  <c r="J99" i="318" s="1"/>
  <c r="D60" i="269"/>
  <c r="D64" i="270"/>
  <c r="F17" i="174"/>
  <c r="I14" i="272"/>
  <c r="J14" i="272" s="1"/>
  <c r="D102" i="318"/>
  <c r="J43" i="270"/>
  <c r="C39" i="270"/>
  <c r="I31" i="270"/>
  <c r="J31" i="270" s="1"/>
  <c r="G12" i="272"/>
  <c r="G21" i="272" s="1"/>
  <c r="G45" i="272" s="1"/>
  <c r="I72" i="323"/>
  <c r="J72" i="323" s="1"/>
  <c r="A1" i="323"/>
  <c r="F54" i="317"/>
  <c r="F66" i="317" s="1"/>
  <c r="F28" i="174"/>
  <c r="C197" i="330"/>
  <c r="C63" i="268"/>
  <c r="B33" i="267"/>
  <c r="C43" i="267"/>
  <c r="I156" i="326"/>
  <c r="J156" i="326" s="1"/>
  <c r="K75" i="330"/>
  <c r="K17" i="241" s="1"/>
  <c r="K151" i="330"/>
  <c r="K34" i="241" s="1"/>
  <c r="K47" i="268"/>
  <c r="I94" i="323"/>
  <c r="J94" i="323" s="1"/>
  <c r="K133" i="330"/>
  <c r="K31" i="241" s="1"/>
  <c r="I28" i="325"/>
  <c r="J28" i="325" s="1"/>
  <c r="H27" i="325"/>
  <c r="I27" i="325" s="1"/>
  <c r="J27" i="325" s="1"/>
  <c r="O342" i="324"/>
  <c r="R342" i="324"/>
  <c r="I83" i="323"/>
  <c r="J83" i="323" s="1"/>
  <c r="I19" i="272"/>
  <c r="J19" i="272" s="1"/>
  <c r="I70" i="268"/>
  <c r="J70" i="268" s="1"/>
  <c r="I40" i="324"/>
  <c r="J40" i="324" s="1"/>
  <c r="I35" i="272"/>
  <c r="J35" i="272" s="1"/>
  <c r="I65" i="330"/>
  <c r="J65" i="330" s="1"/>
  <c r="H63" i="330"/>
  <c r="H14" i="241" s="1"/>
  <c r="I14" i="241" s="1"/>
  <c r="J14" i="241" s="1"/>
  <c r="H42" i="174"/>
  <c r="K198" i="324"/>
  <c r="K26" i="268" s="1"/>
  <c r="D7" i="325"/>
  <c r="I14" i="333"/>
  <c r="J14" i="333" s="1"/>
  <c r="H13" i="333"/>
  <c r="I13" i="333" s="1"/>
  <c r="J13" i="333" s="1"/>
  <c r="I116" i="323"/>
  <c r="J116" i="323" s="1"/>
  <c r="I18" i="324"/>
  <c r="J18" i="324" s="1"/>
  <c r="I198" i="324"/>
  <c r="I26" i="268" s="1"/>
  <c r="K18" i="324"/>
  <c r="K7" i="268" s="1"/>
  <c r="K69" i="242"/>
  <c r="K69" i="326"/>
  <c r="K76" i="335"/>
  <c r="K75" i="335" s="1"/>
  <c r="J26" i="175"/>
  <c r="E38" i="182"/>
  <c r="E42" i="182" s="1"/>
  <c r="E44" i="182" s="1"/>
  <c r="E46" i="182" s="1"/>
  <c r="E48" i="182" s="1"/>
  <c r="K14" i="175"/>
  <c r="J50" i="267" s="1"/>
  <c r="I30" i="323"/>
  <c r="J30" i="323" s="1"/>
  <c r="K43" i="268"/>
  <c r="H165" i="325"/>
  <c r="I165" i="325" s="1"/>
  <c r="J165" i="325" s="1"/>
  <c r="I166" i="325"/>
  <c r="J166" i="325" s="1"/>
  <c r="E63" i="268"/>
  <c r="C53" i="172"/>
  <c r="B11" i="267"/>
  <c r="G197" i="330"/>
  <c r="I18" i="272"/>
  <c r="J18" i="272" s="1"/>
  <c r="I62" i="324"/>
  <c r="J62" i="324" s="1"/>
  <c r="K105" i="330"/>
  <c r="K224" i="330"/>
  <c r="K46" i="318"/>
  <c r="K47" i="318" s="1"/>
  <c r="K99" i="325"/>
  <c r="H120" i="333"/>
  <c r="I120" i="333" s="1"/>
  <c r="J120" i="333" s="1"/>
  <c r="I124" i="333"/>
  <c r="J124" i="333" s="1"/>
  <c r="F341" i="324"/>
  <c r="H137" i="325"/>
  <c r="I137" i="325" s="1"/>
  <c r="J137" i="325" s="1"/>
  <c r="I138" i="325"/>
  <c r="J138" i="325" s="1"/>
  <c r="C111" i="325"/>
  <c r="C75" i="333"/>
  <c r="K38" i="326"/>
  <c r="K142" i="333"/>
  <c r="K140" i="333" s="1"/>
  <c r="I162" i="333"/>
  <c r="J162" i="333" s="1"/>
  <c r="F7" i="335"/>
  <c r="F111" i="335"/>
  <c r="G119" i="335"/>
  <c r="F6" i="330"/>
  <c r="F111" i="326"/>
  <c r="F119" i="325"/>
  <c r="F75" i="333"/>
  <c r="H50" i="330"/>
  <c r="H12" i="241" s="1"/>
  <c r="H173" i="330"/>
  <c r="H35" i="241" s="1"/>
  <c r="H229" i="323"/>
  <c r="I229" i="323" s="1"/>
  <c r="J229" i="323" s="1"/>
  <c r="D111" i="326"/>
  <c r="K104" i="242"/>
  <c r="K142" i="242"/>
  <c r="K140" i="242" s="1"/>
  <c r="K45" i="325"/>
  <c r="K112" i="325"/>
  <c r="G7" i="335"/>
  <c r="I159" i="242"/>
  <c r="J159" i="242" s="1"/>
  <c r="I13" i="242"/>
  <c r="J13" i="242" s="1"/>
  <c r="H114" i="330"/>
  <c r="I114" i="330" s="1"/>
  <c r="J114" i="330" s="1"/>
  <c r="K130" i="330"/>
  <c r="H61" i="323"/>
  <c r="H11" i="272" s="1"/>
  <c r="I11" i="272" s="1"/>
  <c r="J11" i="272" s="1"/>
  <c r="E7" i="325"/>
  <c r="E111" i="335"/>
  <c r="K8" i="242"/>
  <c r="K112" i="326"/>
  <c r="K111" i="326" s="1"/>
  <c r="K104" i="325"/>
  <c r="H120" i="325"/>
  <c r="I120" i="325" s="1"/>
  <c r="J120" i="325" s="1"/>
  <c r="C75" i="335"/>
  <c r="E51" i="334"/>
  <c r="F119" i="326"/>
  <c r="I137" i="326"/>
  <c r="J137" i="326" s="1"/>
  <c r="K28" i="330"/>
  <c r="K11" i="241" s="1"/>
  <c r="H119" i="330"/>
  <c r="I119" i="330" s="1"/>
  <c r="J119" i="330" s="1"/>
  <c r="H196" i="323"/>
  <c r="H26" i="272" s="1"/>
  <c r="I26" i="272" s="1"/>
  <c r="J26" i="272" s="1"/>
  <c r="K29" i="324"/>
  <c r="K8" i="268" s="1"/>
  <c r="D7" i="242"/>
  <c r="D119" i="333"/>
  <c r="K45" i="242"/>
  <c r="K120" i="325"/>
  <c r="K17" i="335"/>
  <c r="C7" i="335"/>
  <c r="E18" i="267"/>
  <c r="E19" i="267" s="1"/>
  <c r="F18" i="267"/>
  <c r="F19" i="267" s="1"/>
  <c r="I17" i="326"/>
  <c r="J17" i="326" s="1"/>
  <c r="G7" i="326"/>
  <c r="H105" i="330"/>
  <c r="H22" i="241" s="1"/>
  <c r="I22" i="241" s="1"/>
  <c r="J22" i="241" s="1"/>
  <c r="K51" i="324"/>
  <c r="K10" i="268" s="1"/>
  <c r="D119" i="326"/>
  <c r="E75" i="325"/>
  <c r="K76" i="326"/>
  <c r="K104" i="333"/>
  <c r="K63" i="335"/>
  <c r="H38" i="325"/>
  <c r="I38" i="325" s="1"/>
  <c r="J38" i="325" s="1"/>
  <c r="H17" i="333"/>
  <c r="I17" i="333" s="1"/>
  <c r="J17" i="333" s="1"/>
  <c r="G75" i="335"/>
  <c r="G7" i="325"/>
  <c r="G111" i="333"/>
  <c r="H151" i="330"/>
  <c r="I151" i="330" s="1"/>
  <c r="J151" i="330" s="1"/>
  <c r="H224" i="330"/>
  <c r="H44" i="241" s="1"/>
  <c r="H237" i="330"/>
  <c r="I237" i="330" s="1"/>
  <c r="J237" i="330" s="1"/>
  <c r="D119" i="325"/>
  <c r="E7" i="333"/>
  <c r="K104" i="326"/>
  <c r="K8" i="335"/>
  <c r="K115" i="335"/>
  <c r="K111" i="335" s="1"/>
  <c r="I163" i="333"/>
  <c r="J163" i="333" s="1"/>
  <c r="I120" i="326"/>
  <c r="J120" i="326" s="1"/>
  <c r="I27" i="326"/>
  <c r="J27" i="326" s="1"/>
  <c r="F7" i="326"/>
  <c r="I120" i="242"/>
  <c r="J120" i="242" s="1"/>
  <c r="I153" i="242"/>
  <c r="J153" i="242" s="1"/>
  <c r="I38" i="242"/>
  <c r="J38" i="242" s="1"/>
  <c r="H7" i="242"/>
  <c r="F7" i="242"/>
  <c r="I27" i="242"/>
  <c r="J27" i="242" s="1"/>
  <c r="H31" i="267"/>
  <c r="I31" i="267" s="1"/>
  <c r="F33" i="267"/>
  <c r="H30" i="267"/>
  <c r="I30" i="267" s="1"/>
  <c r="G33" i="267"/>
  <c r="H29" i="267"/>
  <c r="I29" i="267" s="1"/>
  <c r="G74" i="268"/>
  <c r="I74" i="268" s="1"/>
  <c r="J74" i="268" s="1"/>
  <c r="C24" i="251" s="1"/>
  <c r="F63" i="268"/>
  <c r="G63" i="268"/>
  <c r="G11" i="268"/>
  <c r="I11" i="268" s="1"/>
  <c r="J11" i="268" s="1"/>
  <c r="F21" i="268"/>
  <c r="F172" i="324"/>
  <c r="I209" i="324"/>
  <c r="J209" i="324" s="1"/>
  <c r="I9" i="268"/>
  <c r="J9" i="268" s="1"/>
  <c r="H26" i="268"/>
  <c r="H341" i="324"/>
  <c r="F39" i="268"/>
  <c r="G27" i="268"/>
  <c r="M26" i="175"/>
  <c r="K21" i="175"/>
  <c r="H26" i="175"/>
  <c r="I50" i="267"/>
  <c r="L14" i="175"/>
  <c r="I53" i="172"/>
  <c r="I26" i="175"/>
  <c r="H50" i="267"/>
  <c r="F106" i="318"/>
  <c r="F109" i="318" s="1"/>
  <c r="G49" i="318"/>
  <c r="H14" i="318"/>
  <c r="I14" i="318" s="1"/>
  <c r="J14" i="318" s="1"/>
  <c r="H46" i="318"/>
  <c r="I46" i="318" s="1"/>
  <c r="J46" i="318" s="1"/>
  <c r="I150" i="325"/>
  <c r="J150" i="325" s="1"/>
  <c r="G39" i="241"/>
  <c r="G223" i="330"/>
  <c r="F223" i="330"/>
  <c r="F43" i="241"/>
  <c r="F39" i="241"/>
  <c r="F197" i="330"/>
  <c r="F33" i="241"/>
  <c r="G16" i="241"/>
  <c r="G74" i="330"/>
  <c r="F8" i="241"/>
  <c r="F6" i="241" s="1"/>
  <c r="G129" i="330"/>
  <c r="F29" i="241"/>
  <c r="F129" i="330"/>
  <c r="G20" i="241"/>
  <c r="F20" i="241"/>
  <c r="G100" i="330"/>
  <c r="F100" i="330"/>
  <c r="F10" i="241"/>
  <c r="F27" i="330"/>
  <c r="H32" i="241"/>
  <c r="I32" i="241" s="1"/>
  <c r="J32" i="241" s="1"/>
  <c r="I148" i="330"/>
  <c r="J148" i="330" s="1"/>
  <c r="H75" i="330"/>
  <c r="H228" i="330"/>
  <c r="I115" i="330"/>
  <c r="J115" i="330" s="1"/>
  <c r="H7" i="330"/>
  <c r="H232" i="330"/>
  <c r="H46" i="241" s="1"/>
  <c r="I46" i="241" s="1"/>
  <c r="J46" i="241" s="1"/>
  <c r="H130" i="330"/>
  <c r="I226" i="330"/>
  <c r="J226" i="330" s="1"/>
  <c r="I149" i="330"/>
  <c r="J149" i="330" s="1"/>
  <c r="H133" i="330"/>
  <c r="H31" i="241" s="1"/>
  <c r="I31" i="241" s="1"/>
  <c r="J31" i="241" s="1"/>
  <c r="H109" i="330"/>
  <c r="H242" i="330"/>
  <c r="I242" i="330" s="1"/>
  <c r="J242" i="330" s="1"/>
  <c r="H28" i="330"/>
  <c r="H86" i="330"/>
  <c r="H18" i="241" s="1"/>
  <c r="I18" i="241" s="1"/>
  <c r="J18" i="241" s="1"/>
  <c r="H179" i="330"/>
  <c r="H209" i="330"/>
  <c r="H93" i="330"/>
  <c r="I11" i="325"/>
  <c r="J11" i="325" s="1"/>
  <c r="H69" i="325"/>
  <c r="I69" i="325" s="1"/>
  <c r="J69" i="325" s="1"/>
  <c r="H153" i="325"/>
  <c r="I153" i="325" s="1"/>
  <c r="J153" i="325" s="1"/>
  <c r="H104" i="325"/>
  <c r="I104" i="325" s="1"/>
  <c r="J104" i="325" s="1"/>
  <c r="H45" i="325"/>
  <c r="I45" i="325" s="1"/>
  <c r="J45" i="325" s="1"/>
  <c r="H17" i="325"/>
  <c r="I17" i="325" s="1"/>
  <c r="J17" i="325" s="1"/>
  <c r="H63" i="325"/>
  <c r="I63" i="325" s="1"/>
  <c r="J63" i="325" s="1"/>
  <c r="H13" i="325"/>
  <c r="I13" i="325" s="1"/>
  <c r="J13" i="325" s="1"/>
  <c r="H132" i="325"/>
  <c r="H142" i="325"/>
  <c r="I142" i="325" s="1"/>
  <c r="J142" i="325" s="1"/>
  <c r="I133" i="325"/>
  <c r="J133" i="325" s="1"/>
  <c r="H104" i="333"/>
  <c r="I104" i="333" s="1"/>
  <c r="J104" i="333" s="1"/>
  <c r="H165" i="333"/>
  <c r="I165" i="333" s="1"/>
  <c r="J165" i="333" s="1"/>
  <c r="H112" i="333"/>
  <c r="H153" i="333"/>
  <c r="I153" i="333" s="1"/>
  <c r="J153" i="333" s="1"/>
  <c r="H8" i="333"/>
  <c r="I8" i="333" s="1"/>
  <c r="J8" i="333" s="1"/>
  <c r="H53" i="333"/>
  <c r="I53" i="333" s="1"/>
  <c r="J53" i="333" s="1"/>
  <c r="E11" i="267"/>
  <c r="G38" i="182"/>
  <c r="G42" i="182" s="1"/>
  <c r="G44" i="182" s="1"/>
  <c r="G46" i="182" s="1"/>
  <c r="G48" i="182" s="1"/>
  <c r="G55" i="174"/>
  <c r="F38" i="182"/>
  <c r="F42" i="182" s="1"/>
  <c r="F44" i="182" s="1"/>
  <c r="F46" i="182" s="1"/>
  <c r="F48" i="182" s="1"/>
  <c r="H36" i="182"/>
  <c r="I36" i="182" s="1"/>
  <c r="J36" i="182" s="1"/>
  <c r="H24" i="267"/>
  <c r="I24" i="267" s="1"/>
  <c r="H17" i="267"/>
  <c r="I17" i="267" s="1"/>
  <c r="G10" i="267"/>
  <c r="H10" i="267" s="1"/>
  <c r="I10" i="267" s="1"/>
  <c r="G8" i="267"/>
  <c r="F39" i="272"/>
  <c r="F46" i="272" s="1"/>
  <c r="F339" i="323"/>
  <c r="F348" i="323" s="1"/>
  <c r="H185" i="323"/>
  <c r="H17" i="323"/>
  <c r="H50" i="323"/>
  <c r="H10" i="272" s="1"/>
  <c r="I10" i="272" s="1"/>
  <c r="J10" i="272" s="1"/>
  <c r="F37" i="267"/>
  <c r="G11" i="174"/>
  <c r="H39" i="177"/>
  <c r="H41" i="177" s="1"/>
  <c r="G46" i="267" s="1"/>
  <c r="H43" i="267"/>
  <c r="I43" i="267" s="1"/>
  <c r="E43" i="267"/>
  <c r="E60" i="269"/>
  <c r="E39" i="270"/>
  <c r="H45" i="267"/>
  <c r="I45" i="267" s="1"/>
  <c r="I37" i="177"/>
  <c r="J37" i="177" s="1"/>
  <c r="I18" i="177"/>
  <c r="J18" i="177" s="1"/>
  <c r="G39" i="177"/>
  <c r="G41" i="177" s="1"/>
  <c r="F46" i="267" s="1"/>
  <c r="E39" i="269"/>
  <c r="D39" i="269"/>
  <c r="I28" i="269"/>
  <c r="J28" i="269" s="1"/>
  <c r="I54" i="269"/>
  <c r="J54" i="269" s="1"/>
  <c r="G60" i="269"/>
  <c r="I47" i="269"/>
  <c r="J47" i="269" s="1"/>
  <c r="I42" i="269"/>
  <c r="C60" i="269"/>
  <c r="F60" i="269"/>
  <c r="E64" i="270"/>
  <c r="E39" i="177"/>
  <c r="E41" i="177" s="1"/>
  <c r="D46" i="267" s="1"/>
  <c r="N46" i="317"/>
  <c r="H60" i="269"/>
  <c r="H39" i="269"/>
  <c r="H39" i="270"/>
  <c r="H64" i="270"/>
  <c r="I15" i="270"/>
  <c r="J15" i="270" s="1"/>
  <c r="I8" i="270"/>
  <c r="E27" i="174"/>
  <c r="E26" i="174"/>
  <c r="N33" i="317"/>
  <c r="H189" i="330"/>
  <c r="H38" i="241" s="1"/>
  <c r="G102" i="318"/>
  <c r="I67" i="318"/>
  <c r="J67" i="318" s="1"/>
  <c r="D53" i="174"/>
  <c r="C41" i="178"/>
  <c r="E6" i="330"/>
  <c r="E7" i="241"/>
  <c r="E6" i="241" s="1"/>
  <c r="F74" i="330"/>
  <c r="F18" i="241"/>
  <c r="F16" i="241" s="1"/>
  <c r="A42" i="269"/>
  <c r="A32" i="334"/>
  <c r="I47" i="270"/>
  <c r="J47" i="270" s="1"/>
  <c r="G64" i="270"/>
  <c r="K40" i="241"/>
  <c r="F9" i="272"/>
  <c r="F21" i="272" s="1"/>
  <c r="F171" i="323"/>
  <c r="E28" i="174"/>
  <c r="C44" i="241"/>
  <c r="C43" i="241" s="1"/>
  <c r="C223" i="330"/>
  <c r="G7" i="333"/>
  <c r="H198" i="330"/>
  <c r="E17" i="174"/>
  <c r="I8" i="242"/>
  <c r="J8" i="242" s="1"/>
  <c r="G7" i="242"/>
  <c r="G29" i="241"/>
  <c r="I54" i="270"/>
  <c r="J54" i="270" s="1"/>
  <c r="C29" i="172"/>
  <c r="G8" i="180"/>
  <c r="D36" i="267"/>
  <c r="E26" i="178"/>
  <c r="F52" i="174"/>
  <c r="F13" i="174" s="1"/>
  <c r="I36" i="268"/>
  <c r="J36" i="268" s="1"/>
  <c r="D54" i="317"/>
  <c r="G39" i="269"/>
  <c r="I31" i="269"/>
  <c r="J31" i="269" s="1"/>
  <c r="E52" i="317"/>
  <c r="E54" i="317" s="1"/>
  <c r="E65" i="317"/>
  <c r="F39" i="269"/>
  <c r="K39" i="269"/>
  <c r="H20" i="268"/>
  <c r="I20" i="268" s="1"/>
  <c r="J20" i="268" s="1"/>
  <c r="I161" i="324"/>
  <c r="J161" i="324" s="1"/>
  <c r="I220" i="324"/>
  <c r="G28" i="268"/>
  <c r="F102" i="318"/>
  <c r="J11" i="269"/>
  <c r="I8" i="269"/>
  <c r="H38" i="181"/>
  <c r="I22" i="181"/>
  <c r="J22" i="181" s="1"/>
  <c r="K60" i="269"/>
  <c r="A54" i="269"/>
  <c r="A45" i="334"/>
  <c r="H31" i="183"/>
  <c r="I16" i="183"/>
  <c r="F7" i="180"/>
  <c r="F8" i="180" s="1"/>
  <c r="F9" i="180" s="1"/>
  <c r="F10" i="180" s="1"/>
  <c r="H6" i="180"/>
  <c r="I6" i="180" s="1"/>
  <c r="B28" i="172"/>
  <c r="H6" i="267"/>
  <c r="I6" i="267" s="1"/>
  <c r="F11" i="267"/>
  <c r="J17" i="269"/>
  <c r="I15" i="269"/>
  <c r="J15" i="269" s="1"/>
  <c r="K68" i="318"/>
  <c r="H10" i="268"/>
  <c r="I51" i="324"/>
  <c r="J51" i="324" s="1"/>
  <c r="I284" i="323"/>
  <c r="J284" i="323" s="1"/>
  <c r="H34" i="272"/>
  <c r="I34" i="272" s="1"/>
  <c r="J34" i="272" s="1"/>
  <c r="V342" i="324"/>
  <c r="G50" i="267"/>
  <c r="G53" i="172"/>
  <c r="D18" i="267"/>
  <c r="D19" i="267" s="1"/>
  <c r="G44" i="241"/>
  <c r="I231" i="324"/>
  <c r="H29" i="268"/>
  <c r="E21" i="241"/>
  <c r="E20" i="241" s="1"/>
  <c r="E100" i="330"/>
  <c r="I328" i="323"/>
  <c r="J328" i="323" s="1"/>
  <c r="H38" i="272"/>
  <c r="I38" i="272" s="1"/>
  <c r="J38" i="272" s="1"/>
  <c r="G12" i="241"/>
  <c r="G27" i="330"/>
  <c r="K41" i="177"/>
  <c r="J46" i="267" s="1"/>
  <c r="G26" i="178"/>
  <c r="I37" i="272"/>
  <c r="J37" i="272" s="1"/>
  <c r="I142" i="326"/>
  <c r="J142" i="326" s="1"/>
  <c r="G140" i="326"/>
  <c r="G38" i="241"/>
  <c r="E10" i="241"/>
  <c r="F75" i="325"/>
  <c r="I96" i="333"/>
  <c r="J96" i="333" s="1"/>
  <c r="H76" i="333"/>
  <c r="C51" i="334"/>
  <c r="F7" i="325"/>
  <c r="G119" i="333"/>
  <c r="I13" i="330"/>
  <c r="J13" i="330" s="1"/>
  <c r="H10" i="330"/>
  <c r="E341" i="324"/>
  <c r="L21" i="175"/>
  <c r="K10" i="330"/>
  <c r="H56" i="330"/>
  <c r="K66" i="330"/>
  <c r="I68" i="330"/>
  <c r="J68" i="330" s="1"/>
  <c r="H66" i="330"/>
  <c r="N26" i="175"/>
  <c r="H216" i="330"/>
  <c r="H42" i="241" s="1"/>
  <c r="I42" i="241" s="1"/>
  <c r="J42" i="241" s="1"/>
  <c r="I218" i="330"/>
  <c r="J218" i="330" s="1"/>
  <c r="E111" i="333"/>
  <c r="K120" i="242"/>
  <c r="K27" i="335"/>
  <c r="K45" i="335"/>
  <c r="I101" i="333"/>
  <c r="J101" i="333" s="1"/>
  <c r="H99" i="333"/>
  <c r="I99" i="333" s="1"/>
  <c r="J99" i="333" s="1"/>
  <c r="I63" i="335"/>
  <c r="J63" i="335" s="1"/>
  <c r="I17" i="242"/>
  <c r="J17" i="242" s="1"/>
  <c r="E111" i="242"/>
  <c r="K13" i="326"/>
  <c r="H27" i="333"/>
  <c r="I27" i="333" s="1"/>
  <c r="J27" i="333" s="1"/>
  <c r="H38" i="333"/>
  <c r="I38" i="333" s="1"/>
  <c r="J38" i="333" s="1"/>
  <c r="K62" i="324"/>
  <c r="K209" i="324"/>
  <c r="H22" i="182"/>
  <c r="E75" i="335"/>
  <c r="H53" i="325"/>
  <c r="I53" i="325" s="1"/>
  <c r="J53" i="325" s="1"/>
  <c r="C7" i="326"/>
  <c r="H207" i="323"/>
  <c r="K231" i="324"/>
  <c r="K29" i="268" s="1"/>
  <c r="G14" i="267"/>
  <c r="I28" i="182"/>
  <c r="J28" i="182" s="1"/>
  <c r="D75" i="242"/>
  <c r="K99" i="326"/>
  <c r="K13" i="335"/>
  <c r="K120" i="335"/>
  <c r="K119" i="335" s="1"/>
  <c r="K30" i="318"/>
  <c r="E119" i="326"/>
  <c r="K76" i="242"/>
  <c r="H76" i="325"/>
  <c r="H132" i="333"/>
  <c r="I132" i="333" s="1"/>
  <c r="J132" i="333" s="1"/>
  <c r="H150" i="333"/>
  <c r="I150" i="333" s="1"/>
  <c r="J150" i="333" s="1"/>
  <c r="I151" i="333"/>
  <c r="J151" i="333" s="1"/>
  <c r="K27" i="242"/>
  <c r="K38" i="242"/>
  <c r="K27" i="333"/>
  <c r="H45" i="333"/>
  <c r="I45" i="333" s="1"/>
  <c r="J45" i="333" s="1"/>
  <c r="H30" i="318"/>
  <c r="K75" i="242" l="1"/>
  <c r="C11" i="251"/>
  <c r="A1" i="175"/>
  <c r="A1" i="268"/>
  <c r="C17" i="251"/>
  <c r="K39" i="241"/>
  <c r="K197" i="330"/>
  <c r="I111" i="242"/>
  <c r="J111" i="242" s="1"/>
  <c r="J264" i="324"/>
  <c r="D104" i="318"/>
  <c r="I75" i="326"/>
  <c r="J75" i="326" s="1"/>
  <c r="I25" i="330"/>
  <c r="J25" i="330" s="1"/>
  <c r="H24" i="272"/>
  <c r="D168" i="335"/>
  <c r="I111" i="326"/>
  <c r="J111" i="326" s="1"/>
  <c r="D43" i="178"/>
  <c r="D54" i="178" s="1"/>
  <c r="K74" i="268"/>
  <c r="J33" i="267"/>
  <c r="I33" i="268"/>
  <c r="J33" i="268" s="1"/>
  <c r="C13" i="251"/>
  <c r="I7" i="335"/>
  <c r="J7" i="335" s="1"/>
  <c r="I38" i="268"/>
  <c r="J38" i="268" s="1"/>
  <c r="H111" i="333"/>
  <c r="I111" i="333" s="1"/>
  <c r="J111" i="333" s="1"/>
  <c r="I35" i="241"/>
  <c r="J35" i="241" s="1"/>
  <c r="E53" i="334"/>
  <c r="F51" i="334"/>
  <c r="G51" i="334" s="1"/>
  <c r="D2" i="174"/>
  <c r="K111" i="325"/>
  <c r="I111" i="335"/>
  <c r="J111" i="335" s="1"/>
  <c r="I86" i="330"/>
  <c r="J86" i="330" s="1"/>
  <c r="D40" i="272"/>
  <c r="I119" i="326"/>
  <c r="J119" i="326" s="1"/>
  <c r="D343" i="324"/>
  <c r="I34" i="268"/>
  <c r="J34" i="268" s="1"/>
  <c r="E40" i="268"/>
  <c r="D28" i="267" s="1"/>
  <c r="D20" i="267"/>
  <c r="D23" i="267" s="1"/>
  <c r="D25" i="267" s="1"/>
  <c r="E40" i="272"/>
  <c r="K16" i="241"/>
  <c r="I224" i="330"/>
  <c r="J224" i="330" s="1"/>
  <c r="C77" i="172"/>
  <c r="J242" i="324"/>
  <c r="C2" i="333"/>
  <c r="K38" i="182"/>
  <c r="K42" i="182" s="1"/>
  <c r="K44" i="182" s="1"/>
  <c r="K46" i="182" s="1"/>
  <c r="K48" i="182" s="1"/>
  <c r="J11" i="267"/>
  <c r="C53" i="334"/>
  <c r="D53" i="334"/>
  <c r="C40" i="268"/>
  <c r="C84" i="268" s="1"/>
  <c r="J18" i="267"/>
  <c r="J19" i="267" s="1"/>
  <c r="E168" i="242"/>
  <c r="E168" i="333"/>
  <c r="E171" i="333" s="1"/>
  <c r="I119" i="335"/>
  <c r="J119" i="335" s="1"/>
  <c r="I186" i="330"/>
  <c r="J186" i="330" s="1"/>
  <c r="E341" i="323"/>
  <c r="H8" i="272"/>
  <c r="I8" i="272" s="1"/>
  <c r="J8" i="272" s="1"/>
  <c r="H7" i="174"/>
  <c r="H21" i="241"/>
  <c r="I21" i="241" s="1"/>
  <c r="J21" i="241" s="1"/>
  <c r="K7" i="333"/>
  <c r="C2" i="269"/>
  <c r="C2" i="181"/>
  <c r="D2" i="181"/>
  <c r="D2" i="326"/>
  <c r="D2" i="324"/>
  <c r="D126" i="330"/>
  <c r="C20" i="267"/>
  <c r="C23" i="267" s="1"/>
  <c r="C25" i="267" s="1"/>
  <c r="E168" i="326"/>
  <c r="C66" i="270"/>
  <c r="C2" i="182"/>
  <c r="C43" i="178"/>
  <c r="C54" i="178" s="1"/>
  <c r="C2" i="180"/>
  <c r="K171" i="323"/>
  <c r="C7" i="251"/>
  <c r="C2" i="318"/>
  <c r="H25" i="241"/>
  <c r="I25" i="241" s="1"/>
  <c r="J25" i="241" s="1"/>
  <c r="O56" i="317"/>
  <c r="P55" i="317" s="1"/>
  <c r="P56" i="317" s="1"/>
  <c r="Q55" i="317" s="1"/>
  <c r="Q56" i="317" s="1"/>
  <c r="F168" i="333"/>
  <c r="F171" i="333" s="1"/>
  <c r="D2" i="182"/>
  <c r="A53" i="172"/>
  <c r="A104" i="172" s="1"/>
  <c r="D2" i="272"/>
  <c r="D168" i="242"/>
  <c r="A15" i="175"/>
  <c r="B2" i="267"/>
  <c r="C2" i="268"/>
  <c r="H13" i="174"/>
  <c r="D168" i="333"/>
  <c r="D171" i="333" s="1"/>
  <c r="D2" i="242"/>
  <c r="D2" i="335"/>
  <c r="K66" i="270"/>
  <c r="C2" i="272"/>
  <c r="C2" i="330"/>
  <c r="K39" i="272"/>
  <c r="K46" i="272" s="1"/>
  <c r="C62" i="269"/>
  <c r="B47" i="100"/>
  <c r="D2" i="177"/>
  <c r="E2" i="174"/>
  <c r="D2" i="183"/>
  <c r="C2" i="175"/>
  <c r="C2" i="183"/>
  <c r="D40" i="268"/>
  <c r="C28" i="267" s="1"/>
  <c r="C2" i="173"/>
  <c r="D2" i="178"/>
  <c r="D2" i="241"/>
  <c r="C168" i="326"/>
  <c r="C2" i="178"/>
  <c r="C2" i="326"/>
  <c r="A54" i="172"/>
  <c r="A103" i="172" s="1"/>
  <c r="F29" i="334"/>
  <c r="D2" i="325"/>
  <c r="C56" i="317"/>
  <c r="D55" i="317" s="1"/>
  <c r="D56" i="317" s="1"/>
  <c r="E55" i="317" s="1"/>
  <c r="E56" i="317" s="1"/>
  <c r="F55" i="317" s="1"/>
  <c r="F56" i="317" s="1"/>
  <c r="G55" i="317" s="1"/>
  <c r="G56" i="317" s="1"/>
  <c r="H55" i="317" s="1"/>
  <c r="H56" i="317" s="1"/>
  <c r="I55" i="317" s="1"/>
  <c r="I56" i="317" s="1"/>
  <c r="J55" i="317" s="1"/>
  <c r="J56" i="317" s="1"/>
  <c r="K55" i="317" s="1"/>
  <c r="K56" i="317" s="1"/>
  <c r="L55" i="317" s="1"/>
  <c r="L56" i="317" s="1"/>
  <c r="M55" i="317" s="1"/>
  <c r="M56" i="317" s="1"/>
  <c r="N55" i="317" s="1"/>
  <c r="C66" i="317"/>
  <c r="D2" i="330"/>
  <c r="D2" i="333"/>
  <c r="C2" i="335"/>
  <c r="N52" i="317"/>
  <c r="N54" i="317" s="1"/>
  <c r="N66" i="317" s="1"/>
  <c r="N65" i="317"/>
  <c r="K75" i="326"/>
  <c r="E168" i="335"/>
  <c r="I12" i="272"/>
  <c r="J12" i="272" s="1"/>
  <c r="C2" i="325"/>
  <c r="B103" i="100"/>
  <c r="A26" i="172" s="1"/>
  <c r="B32" i="172"/>
  <c r="F11" i="180"/>
  <c r="F12" i="180" s="1"/>
  <c r="F13" i="180" s="1"/>
  <c r="F14" i="180" s="1"/>
  <c r="F15" i="180" s="1"/>
  <c r="F16" i="180" s="1"/>
  <c r="F17" i="180" s="1"/>
  <c r="C2" i="241"/>
  <c r="C3" i="334"/>
  <c r="D2" i="269"/>
  <c r="D2" i="268"/>
  <c r="C2" i="317"/>
  <c r="B77" i="172"/>
  <c r="D66" i="317"/>
  <c r="E343" i="324"/>
  <c r="C2" i="323"/>
  <c r="B2" i="180"/>
  <c r="B2" i="172" s="1"/>
  <c r="C2" i="270"/>
  <c r="K339" i="323"/>
  <c r="K348" i="323" s="1"/>
  <c r="C168" i="325"/>
  <c r="C2" i="334"/>
  <c r="D66" i="270"/>
  <c r="D2" i="323"/>
  <c r="J297" i="324"/>
  <c r="C2" i="267"/>
  <c r="D2" i="318"/>
  <c r="K119" i="326"/>
  <c r="F168" i="242"/>
  <c r="G168" i="242"/>
  <c r="C104" i="318"/>
  <c r="C108" i="318" s="1"/>
  <c r="D49" i="241"/>
  <c r="D57" i="241" s="1"/>
  <c r="D249" i="330"/>
  <c r="D259" i="330" s="1"/>
  <c r="E49" i="241"/>
  <c r="E57" i="241" s="1"/>
  <c r="K33" i="241"/>
  <c r="K150" i="330"/>
  <c r="H47" i="241"/>
  <c r="I47" i="241" s="1"/>
  <c r="J47" i="241" s="1"/>
  <c r="H24" i="241"/>
  <c r="I24" i="241" s="1"/>
  <c r="J24" i="241" s="1"/>
  <c r="D26" i="241"/>
  <c r="D56" i="241" s="1"/>
  <c r="C26" i="241"/>
  <c r="C56" i="241" s="1"/>
  <c r="C49" i="241"/>
  <c r="C57" i="241" s="1"/>
  <c r="C126" i="330"/>
  <c r="C258" i="330" s="1"/>
  <c r="H140" i="333"/>
  <c r="I140" i="333" s="1"/>
  <c r="J140" i="333" s="1"/>
  <c r="B20" i="267"/>
  <c r="B23" i="267" s="1"/>
  <c r="B25" i="267" s="1"/>
  <c r="C40" i="272"/>
  <c r="I24" i="272"/>
  <c r="J24" i="272" s="1"/>
  <c r="H9" i="272"/>
  <c r="I9" i="272" s="1"/>
  <c r="J9" i="272" s="1"/>
  <c r="H28" i="272"/>
  <c r="I28" i="272" s="1"/>
  <c r="J28" i="272" s="1"/>
  <c r="A1" i="326"/>
  <c r="D168" i="326"/>
  <c r="C2" i="177"/>
  <c r="C2" i="242"/>
  <c r="C168" i="335"/>
  <c r="H29" i="272"/>
  <c r="I29" i="272" s="1"/>
  <c r="J29" i="272" s="1"/>
  <c r="J10" i="180"/>
  <c r="I75" i="242"/>
  <c r="J75" i="242" s="1"/>
  <c r="G11" i="267"/>
  <c r="H11" i="267" s="1"/>
  <c r="I11" i="267" s="1"/>
  <c r="C10" i="251"/>
  <c r="F168" i="335"/>
  <c r="D62" i="269"/>
  <c r="B31" i="172"/>
  <c r="C168" i="242"/>
  <c r="L26" i="175"/>
  <c r="I172" i="324"/>
  <c r="J172" i="324" s="1"/>
  <c r="H168" i="242"/>
  <c r="E168" i="325"/>
  <c r="K119" i="325"/>
  <c r="K7" i="325"/>
  <c r="K75" i="325"/>
  <c r="I173" i="330"/>
  <c r="J173" i="330" s="1"/>
  <c r="I63" i="330"/>
  <c r="J63" i="330" s="1"/>
  <c r="C21" i="251"/>
  <c r="F66" i="270"/>
  <c r="D108" i="318"/>
  <c r="C347" i="323"/>
  <c r="C341" i="323"/>
  <c r="I50" i="330"/>
  <c r="J50" i="330" s="1"/>
  <c r="J9" i="180"/>
  <c r="G39" i="268"/>
  <c r="I232" i="330"/>
  <c r="J232" i="330" s="1"/>
  <c r="C168" i="333"/>
  <c r="C171" i="333" s="1"/>
  <c r="C19" i="251"/>
  <c r="C18" i="251"/>
  <c r="G66" i="270"/>
  <c r="I6" i="323"/>
  <c r="J6" i="323" s="1"/>
  <c r="D168" i="325"/>
  <c r="K74" i="330"/>
  <c r="E20" i="267"/>
  <c r="E23" i="267" s="1"/>
  <c r="E25" i="267" s="1"/>
  <c r="I50" i="323"/>
  <c r="J50" i="323" s="1"/>
  <c r="C249" i="330"/>
  <c r="C259" i="330" s="1"/>
  <c r="G168" i="325"/>
  <c r="G343" i="324"/>
  <c r="E249" i="330"/>
  <c r="E259" i="330" s="1"/>
  <c r="J253" i="324"/>
  <c r="I31" i="268"/>
  <c r="J31" i="268" s="1"/>
  <c r="K168" i="333"/>
  <c r="K171" i="333" s="1"/>
  <c r="K63" i="268"/>
  <c r="D341" i="323"/>
  <c r="C343" i="324"/>
  <c r="D50" i="318"/>
  <c r="K7" i="326"/>
  <c r="K119" i="242"/>
  <c r="F168" i="326"/>
  <c r="I75" i="335"/>
  <c r="J75" i="335" s="1"/>
  <c r="G168" i="326"/>
  <c r="E20" i="180"/>
  <c r="H33" i="267"/>
  <c r="I33" i="267" s="1"/>
  <c r="I63" i="268"/>
  <c r="J63" i="268" s="1"/>
  <c r="G21" i="268"/>
  <c r="H39" i="268"/>
  <c r="J26" i="268"/>
  <c r="I25" i="268"/>
  <c r="J25" i="268" s="1"/>
  <c r="J198" i="324"/>
  <c r="I341" i="324"/>
  <c r="J341" i="324" s="1"/>
  <c r="F343" i="324"/>
  <c r="I24" i="268"/>
  <c r="J24" i="268" s="1"/>
  <c r="J176" i="324"/>
  <c r="H119" i="325"/>
  <c r="I119" i="325" s="1"/>
  <c r="J119" i="325" s="1"/>
  <c r="H140" i="325"/>
  <c r="I140" i="325" s="1"/>
  <c r="J140" i="325" s="1"/>
  <c r="H111" i="325"/>
  <c r="I111" i="325" s="1"/>
  <c r="J111" i="325" s="1"/>
  <c r="F104" i="318"/>
  <c r="F108" i="318" s="1"/>
  <c r="I112" i="333"/>
  <c r="J112" i="333" s="1"/>
  <c r="K53" i="182"/>
  <c r="K45" i="272" s="1"/>
  <c r="H55" i="174"/>
  <c r="H28" i="174" s="1"/>
  <c r="H171" i="323"/>
  <c r="I171" i="323" s="1"/>
  <c r="G341" i="323"/>
  <c r="H100" i="330"/>
  <c r="I61" i="323"/>
  <c r="J61" i="323" s="1"/>
  <c r="C22" i="251"/>
  <c r="C14" i="251"/>
  <c r="C12" i="251"/>
  <c r="A1" i="269"/>
  <c r="A1" i="334"/>
  <c r="A1" i="173"/>
  <c r="A1" i="335"/>
  <c r="A1" i="238"/>
  <c r="A1" i="270"/>
  <c r="A1" i="318"/>
  <c r="A1" i="242"/>
  <c r="A1" i="317"/>
  <c r="A1" i="174"/>
  <c r="A1" i="181"/>
  <c r="A1" i="183"/>
  <c r="C16" i="251"/>
  <c r="C9" i="251"/>
  <c r="C6" i="251"/>
  <c r="A1" i="325"/>
  <c r="C20" i="251"/>
  <c r="C8" i="251"/>
  <c r="A1" i="180"/>
  <c r="E62" i="269"/>
  <c r="E39" i="174"/>
  <c r="H46" i="267"/>
  <c r="I46" i="267" s="1"/>
  <c r="H66" i="270"/>
  <c r="F62" i="269"/>
  <c r="H8" i="267"/>
  <c r="I8" i="267" s="1"/>
  <c r="G62" i="269"/>
  <c r="I60" i="269"/>
  <c r="J60" i="269" s="1"/>
  <c r="I196" i="323"/>
  <c r="J196" i="323" s="1"/>
  <c r="H34" i="241"/>
  <c r="I34" i="241" s="1"/>
  <c r="J34" i="241" s="1"/>
  <c r="I105" i="330"/>
  <c r="J105" i="330" s="1"/>
  <c r="K26" i="175"/>
  <c r="K129" i="330"/>
  <c r="K30" i="241"/>
  <c r="K29" i="241" s="1"/>
  <c r="K44" i="241"/>
  <c r="K43" i="241" s="1"/>
  <c r="K223" i="330"/>
  <c r="D258" i="330"/>
  <c r="K22" i="241"/>
  <c r="K20" i="241" s="1"/>
  <c r="K100" i="330"/>
  <c r="E50" i="318"/>
  <c r="E104" i="318"/>
  <c r="E108" i="318" s="1"/>
  <c r="H21" i="268"/>
  <c r="F40" i="268"/>
  <c r="G168" i="335"/>
  <c r="G168" i="333"/>
  <c r="G171" i="333" s="1"/>
  <c r="H168" i="326"/>
  <c r="I7" i="326"/>
  <c r="J7" i="326" s="1"/>
  <c r="J8" i="180"/>
  <c r="B30" i="172"/>
  <c r="H8" i="180"/>
  <c r="I8" i="180" s="1"/>
  <c r="I10" i="268"/>
  <c r="J10" i="268" s="1"/>
  <c r="I27" i="268"/>
  <c r="J27" i="268" s="1"/>
  <c r="H343" i="324"/>
  <c r="F49" i="241"/>
  <c r="F57" i="241" s="1"/>
  <c r="F249" i="330"/>
  <c r="F259" i="330" s="1"/>
  <c r="G249" i="330"/>
  <c r="G259" i="330" s="1"/>
  <c r="G126" i="330"/>
  <c r="G258" i="330" s="1"/>
  <c r="F26" i="241"/>
  <c r="F56" i="241" s="1"/>
  <c r="F126" i="330"/>
  <c r="I209" i="330"/>
  <c r="J209" i="330" s="1"/>
  <c r="H41" i="241"/>
  <c r="I41" i="241" s="1"/>
  <c r="J41" i="241" s="1"/>
  <c r="I228" i="330"/>
  <c r="J228" i="330" s="1"/>
  <c r="H45" i="241"/>
  <c r="H36" i="241"/>
  <c r="I36" i="241" s="1"/>
  <c r="J36" i="241" s="1"/>
  <c r="I179" i="330"/>
  <c r="J179" i="330" s="1"/>
  <c r="I133" i="330"/>
  <c r="J133" i="330" s="1"/>
  <c r="H30" i="241"/>
  <c r="I130" i="330"/>
  <c r="J130" i="330" s="1"/>
  <c r="H48" i="241"/>
  <c r="I48" i="241" s="1"/>
  <c r="J48" i="241" s="1"/>
  <c r="H129" i="330"/>
  <c r="I129" i="330" s="1"/>
  <c r="H11" i="241"/>
  <c r="I11" i="241" s="1"/>
  <c r="J11" i="241" s="1"/>
  <c r="I28" i="330"/>
  <c r="J28" i="330" s="1"/>
  <c r="I75" i="330"/>
  <c r="J75" i="330" s="1"/>
  <c r="H17" i="241"/>
  <c r="I17" i="241" s="1"/>
  <c r="J17" i="241" s="1"/>
  <c r="H223" i="330"/>
  <c r="H74" i="330"/>
  <c r="I74" i="330" s="1"/>
  <c r="J74" i="330" s="1"/>
  <c r="H7" i="241"/>
  <c r="I7" i="241" s="1"/>
  <c r="J7" i="241" s="1"/>
  <c r="I7" i="330"/>
  <c r="J7" i="330" s="1"/>
  <c r="H23" i="241"/>
  <c r="I23" i="241" s="1"/>
  <c r="J23" i="241" s="1"/>
  <c r="I109" i="330"/>
  <c r="H19" i="241"/>
  <c r="I19" i="241" s="1"/>
  <c r="J19" i="241" s="1"/>
  <c r="I93" i="330"/>
  <c r="J93" i="330" s="1"/>
  <c r="I132" i="325"/>
  <c r="J132" i="325" s="1"/>
  <c r="G27" i="174"/>
  <c r="G28" i="174"/>
  <c r="G26" i="174"/>
  <c r="G40" i="272"/>
  <c r="H339" i="323"/>
  <c r="I185" i="323"/>
  <c r="J185" i="323" s="1"/>
  <c r="H25" i="272"/>
  <c r="I25" i="272" s="1"/>
  <c r="J25" i="272" s="1"/>
  <c r="H7" i="272"/>
  <c r="I7" i="272" s="1"/>
  <c r="J7" i="272" s="1"/>
  <c r="I17" i="323"/>
  <c r="J17" i="323" s="1"/>
  <c r="E66" i="270"/>
  <c r="J42" i="269"/>
  <c r="H62" i="269"/>
  <c r="I39" i="270"/>
  <c r="J39" i="270" s="1"/>
  <c r="J8" i="270"/>
  <c r="J16" i="183"/>
  <c r="I31" i="183"/>
  <c r="J31" i="183" s="1"/>
  <c r="I28" i="268"/>
  <c r="J28" i="268" s="1"/>
  <c r="J220" i="324"/>
  <c r="E66" i="317"/>
  <c r="E26" i="241"/>
  <c r="H7" i="333"/>
  <c r="I38" i="241"/>
  <c r="J38" i="241" s="1"/>
  <c r="G33" i="241"/>
  <c r="J231" i="324"/>
  <c r="I29" i="268"/>
  <c r="J29" i="268" s="1"/>
  <c r="F20" i="267"/>
  <c r="I140" i="326"/>
  <c r="J140" i="326" s="1"/>
  <c r="I64" i="270"/>
  <c r="J64" i="270" s="1"/>
  <c r="E126" i="330"/>
  <c r="K106" i="318"/>
  <c r="K109" i="318" s="1"/>
  <c r="K49" i="318"/>
  <c r="K31" i="318"/>
  <c r="F45" i="272"/>
  <c r="F40" i="272"/>
  <c r="K7" i="242"/>
  <c r="K7" i="335"/>
  <c r="K168" i="335" s="1"/>
  <c r="K15" i="241"/>
  <c r="K10" i="241" s="1"/>
  <c r="K27" i="330"/>
  <c r="F168" i="325"/>
  <c r="I189" i="330"/>
  <c r="J189" i="330" s="1"/>
  <c r="I44" i="241"/>
  <c r="G43" i="241"/>
  <c r="K62" i="269"/>
  <c r="H27" i="272"/>
  <c r="I207" i="323"/>
  <c r="J207" i="323" s="1"/>
  <c r="H13" i="241"/>
  <c r="H27" i="330"/>
  <c r="I27" i="330" s="1"/>
  <c r="J27" i="330" s="1"/>
  <c r="I198" i="330"/>
  <c r="J198" i="330" s="1"/>
  <c r="H197" i="330"/>
  <c r="I197" i="330" s="1"/>
  <c r="J197" i="330" s="1"/>
  <c r="H40" i="241"/>
  <c r="D13" i="174"/>
  <c r="D14" i="174"/>
  <c r="I12" i="241"/>
  <c r="J12" i="241" s="1"/>
  <c r="G10" i="241"/>
  <c r="F341" i="323"/>
  <c r="F347" i="323"/>
  <c r="H106" i="318"/>
  <c r="H109" i="318" s="1"/>
  <c r="H49" i="318"/>
  <c r="I30" i="318"/>
  <c r="H53" i="182"/>
  <c r="H38" i="182"/>
  <c r="H42" i="182" s="1"/>
  <c r="H44" i="182" s="1"/>
  <c r="H46" i="182" s="1"/>
  <c r="H48" i="182" s="1"/>
  <c r="I22" i="182"/>
  <c r="K8" i="241"/>
  <c r="K6" i="241" s="1"/>
  <c r="K6" i="330"/>
  <c r="I56" i="330"/>
  <c r="J56" i="330" s="1"/>
  <c r="I216" i="330"/>
  <c r="J216" i="330" s="1"/>
  <c r="H42" i="181"/>
  <c r="I38" i="181"/>
  <c r="J38" i="181" s="1"/>
  <c r="E43" i="178"/>
  <c r="E54" i="178" s="1"/>
  <c r="F39" i="174"/>
  <c r="I7" i="242"/>
  <c r="J7" i="242" s="1"/>
  <c r="H150" i="330"/>
  <c r="I150" i="330" s="1"/>
  <c r="J150" i="330" s="1"/>
  <c r="K27" i="268"/>
  <c r="K39" i="268" s="1"/>
  <c r="K341" i="324"/>
  <c r="H75" i="333"/>
  <c r="I75" i="333" s="1"/>
  <c r="J75" i="333" s="1"/>
  <c r="I76" i="333"/>
  <c r="J76" i="333" s="1"/>
  <c r="H119" i="333"/>
  <c r="I119" i="333" s="1"/>
  <c r="J119" i="333" s="1"/>
  <c r="I102" i="318"/>
  <c r="J102" i="318" s="1"/>
  <c r="G104" i="318"/>
  <c r="H8" i="241"/>
  <c r="H6" i="330"/>
  <c r="I10" i="330"/>
  <c r="J10" i="330" s="1"/>
  <c r="I76" i="325"/>
  <c r="J76" i="325" s="1"/>
  <c r="H75" i="325"/>
  <c r="I75" i="325" s="1"/>
  <c r="J75" i="325" s="1"/>
  <c r="H14" i="267"/>
  <c r="I14" i="267" s="1"/>
  <c r="G18" i="267"/>
  <c r="H18" i="267" s="1"/>
  <c r="I18" i="267" s="1"/>
  <c r="K11" i="268"/>
  <c r="K21" i="268" s="1"/>
  <c r="K172" i="324"/>
  <c r="H15" i="241"/>
  <c r="I15" i="241" s="1"/>
  <c r="J15" i="241" s="1"/>
  <c r="I66" i="330"/>
  <c r="J66" i="330" s="1"/>
  <c r="H39" i="174"/>
  <c r="G43" i="178"/>
  <c r="G54" i="178" s="1"/>
  <c r="B29" i="172"/>
  <c r="H7" i="180"/>
  <c r="I7" i="180" s="1"/>
  <c r="J7" i="180"/>
  <c r="J8" i="269"/>
  <c r="I39" i="269"/>
  <c r="C30" i="172"/>
  <c r="G9" i="180"/>
  <c r="H9" i="180" s="1"/>
  <c r="I9" i="180" s="1"/>
  <c r="H7" i="325"/>
  <c r="J6" i="272"/>
  <c r="B39" i="172" l="1"/>
  <c r="J17" i="180"/>
  <c r="F46" i="174"/>
  <c r="F8" i="174" s="1"/>
  <c r="B38" i="172"/>
  <c r="J16" i="180"/>
  <c r="E84" i="268"/>
  <c r="B37" i="172"/>
  <c r="J15" i="180"/>
  <c r="J14" i="180"/>
  <c r="B36" i="172"/>
  <c r="J20" i="267"/>
  <c r="J23" i="267" s="1"/>
  <c r="J25" i="267" s="1"/>
  <c r="F53" i="334"/>
  <c r="G53" i="334" s="1"/>
  <c r="I168" i="335"/>
  <c r="J168" i="335" s="1"/>
  <c r="B35" i="172"/>
  <c r="J13" i="180"/>
  <c r="E171" i="335"/>
  <c r="D46" i="174"/>
  <c r="D8" i="174" s="1"/>
  <c r="B28" i="267"/>
  <c r="C171" i="335"/>
  <c r="K40" i="272"/>
  <c r="K168" i="326"/>
  <c r="B34" i="172"/>
  <c r="J12" i="180"/>
  <c r="K168" i="242"/>
  <c r="C171" i="242"/>
  <c r="K341" i="323"/>
  <c r="D84" i="268"/>
  <c r="C171" i="326"/>
  <c r="D171" i="242"/>
  <c r="G29" i="334"/>
  <c r="E46" i="174"/>
  <c r="E8" i="174" s="1"/>
  <c r="D171" i="335"/>
  <c r="D171" i="326"/>
  <c r="E171" i="242"/>
  <c r="B33" i="172"/>
  <c r="J11" i="180"/>
  <c r="E171" i="326"/>
  <c r="D250" i="330"/>
  <c r="I168" i="242"/>
  <c r="J168" i="242" s="1"/>
  <c r="D105" i="318"/>
  <c r="E105" i="318"/>
  <c r="D50" i="241"/>
  <c r="C50" i="241"/>
  <c r="I21" i="268"/>
  <c r="J21" i="268" s="1"/>
  <c r="K168" i="325"/>
  <c r="K249" i="330"/>
  <c r="K259" i="330" s="1"/>
  <c r="G40" i="268"/>
  <c r="F28" i="267" s="1"/>
  <c r="I343" i="324"/>
  <c r="J343" i="324" s="1"/>
  <c r="F171" i="326"/>
  <c r="N56" i="317"/>
  <c r="C250" i="330"/>
  <c r="K347" i="323"/>
  <c r="K49" i="241"/>
  <c r="K57" i="241" s="1"/>
  <c r="I168" i="326"/>
  <c r="J168" i="326" s="1"/>
  <c r="H40" i="268"/>
  <c r="G28" i="267" s="1"/>
  <c r="H26" i="174"/>
  <c r="H17" i="174"/>
  <c r="H27" i="174"/>
  <c r="H347" i="323"/>
  <c r="H341" i="323"/>
  <c r="I341" i="323" s="1"/>
  <c r="J341" i="323" s="1"/>
  <c r="I20" i="241"/>
  <c r="H16" i="241"/>
  <c r="I16" i="241" s="1"/>
  <c r="J16" i="241" s="1"/>
  <c r="H348" i="323"/>
  <c r="I339" i="323"/>
  <c r="I348" i="323" s="1"/>
  <c r="H21" i="272"/>
  <c r="H45" i="272" s="1"/>
  <c r="F84" i="268"/>
  <c r="F171" i="242"/>
  <c r="K343" i="324"/>
  <c r="F171" i="335"/>
  <c r="E28" i="267"/>
  <c r="I39" i="268"/>
  <c r="J39" i="268" s="1"/>
  <c r="F50" i="241"/>
  <c r="G250" i="330"/>
  <c r="F250" i="330"/>
  <c r="F258" i="330"/>
  <c r="H33" i="241"/>
  <c r="I33" i="241" s="1"/>
  <c r="J33" i="241" s="1"/>
  <c r="J109" i="330"/>
  <c r="I100" i="330"/>
  <c r="J100" i="330" s="1"/>
  <c r="H43" i="241"/>
  <c r="I45" i="241"/>
  <c r="J45" i="241" s="1"/>
  <c r="I223" i="330"/>
  <c r="J223" i="330" s="1"/>
  <c r="H29" i="241"/>
  <c r="I29" i="241" s="1"/>
  <c r="J29" i="241" s="1"/>
  <c r="I30" i="241"/>
  <c r="J30" i="241" s="1"/>
  <c r="H20" i="241"/>
  <c r="G19" i="267"/>
  <c r="G20" i="267" s="1"/>
  <c r="G23" i="267" s="1"/>
  <c r="G25" i="267" s="1"/>
  <c r="I21" i="272"/>
  <c r="I66" i="270"/>
  <c r="J66" i="270" s="1"/>
  <c r="I62" i="269"/>
  <c r="J62" i="269" s="1"/>
  <c r="J39" i="269"/>
  <c r="H44" i="181"/>
  <c r="I44" i="181" s="1"/>
  <c r="J44" i="181" s="1"/>
  <c r="I42" i="181"/>
  <c r="J42" i="181" s="1"/>
  <c r="I106" i="318"/>
  <c r="I109" i="318" s="1"/>
  <c r="J30" i="318"/>
  <c r="I13" i="241"/>
  <c r="J13" i="241" s="1"/>
  <c r="H10" i="241"/>
  <c r="I10" i="241" s="1"/>
  <c r="J10" i="241" s="1"/>
  <c r="K40" i="268"/>
  <c r="G49" i="241"/>
  <c r="G57" i="241" s="1"/>
  <c r="I49" i="318"/>
  <c r="J49" i="318" s="1"/>
  <c r="H104" i="318"/>
  <c r="H108" i="318" s="1"/>
  <c r="G26" i="241"/>
  <c r="E258" i="330"/>
  <c r="E250" i="330"/>
  <c r="J171" i="323"/>
  <c r="G108" i="318"/>
  <c r="H39" i="272"/>
  <c r="H46" i="272" s="1"/>
  <c r="I27" i="272"/>
  <c r="I7" i="333"/>
  <c r="J7" i="333" s="1"/>
  <c r="H168" i="333"/>
  <c r="H126" i="330"/>
  <c r="I6" i="330"/>
  <c r="J6" i="330" s="1"/>
  <c r="K126" i="330"/>
  <c r="H249" i="330"/>
  <c r="H259" i="330" s="1"/>
  <c r="J44" i="241"/>
  <c r="F23" i="267"/>
  <c r="E50" i="241"/>
  <c r="E56" i="241"/>
  <c r="K104" i="318"/>
  <c r="K50" i="318"/>
  <c r="H168" i="325"/>
  <c r="I7" i="325"/>
  <c r="J7" i="325" s="1"/>
  <c r="H6" i="241"/>
  <c r="I8" i="241"/>
  <c r="J8" i="241" s="1"/>
  <c r="K26" i="241"/>
  <c r="J129" i="330"/>
  <c r="C31" i="172"/>
  <c r="G10" i="180"/>
  <c r="H10" i="180" s="1"/>
  <c r="I10" i="180" s="1"/>
  <c r="I53" i="182"/>
  <c r="I38" i="182"/>
  <c r="J38" i="182" s="1"/>
  <c r="J22" i="182"/>
  <c r="H39" i="241"/>
  <c r="I40" i="241"/>
  <c r="J40" i="241" s="1"/>
  <c r="K171" i="242" l="1"/>
  <c r="H171" i="326"/>
  <c r="G171" i="242"/>
  <c r="G84" i="268"/>
  <c r="G171" i="326"/>
  <c r="G171" i="335"/>
  <c r="G46" i="174"/>
  <c r="G8" i="174" s="1"/>
  <c r="I168" i="325"/>
  <c r="J168" i="325" s="1"/>
  <c r="H171" i="335"/>
  <c r="H171" i="242"/>
  <c r="H84" i="268"/>
  <c r="I40" i="268"/>
  <c r="J40" i="268" s="1"/>
  <c r="H28" i="267"/>
  <c r="I28" i="267" s="1"/>
  <c r="J20" i="241"/>
  <c r="J21" i="272"/>
  <c r="J339" i="323"/>
  <c r="H19" i="267"/>
  <c r="I19" i="267" s="1"/>
  <c r="I104" i="318"/>
  <c r="K171" i="326"/>
  <c r="I249" i="330"/>
  <c r="J249" i="330" s="1"/>
  <c r="I43" i="241"/>
  <c r="J43" i="241" s="1"/>
  <c r="H20" i="267"/>
  <c r="I20" i="267" s="1"/>
  <c r="I45" i="272"/>
  <c r="I39" i="241"/>
  <c r="H49" i="241"/>
  <c r="H57" i="241" s="1"/>
  <c r="H26" i="241"/>
  <c r="I6" i="241"/>
  <c r="J106" i="318"/>
  <c r="H258" i="330"/>
  <c r="H250" i="330"/>
  <c r="I250" i="330" s="1"/>
  <c r="J250" i="330" s="1"/>
  <c r="I126" i="330"/>
  <c r="H23" i="267"/>
  <c r="I23" i="267" s="1"/>
  <c r="F25" i="267"/>
  <c r="H25" i="267" s="1"/>
  <c r="I25" i="267" s="1"/>
  <c r="I347" i="323"/>
  <c r="K84" i="268"/>
  <c r="J28" i="267"/>
  <c r="H46" i="174"/>
  <c r="H8" i="174" s="1"/>
  <c r="J27" i="272"/>
  <c r="I39" i="272"/>
  <c r="K171" i="335"/>
  <c r="I168" i="333"/>
  <c r="J168" i="333" s="1"/>
  <c r="H171" i="333"/>
  <c r="G50" i="241"/>
  <c r="G56" i="241"/>
  <c r="C32" i="172"/>
  <c r="G11" i="180"/>
  <c r="H11" i="180" s="1"/>
  <c r="I11" i="180" s="1"/>
  <c r="K258" i="330"/>
  <c r="K250" i="330"/>
  <c r="K50" i="241"/>
  <c r="K56" i="241"/>
  <c r="K108" i="318"/>
  <c r="K105" i="318"/>
  <c r="H40" i="272"/>
  <c r="J104" i="318" l="1"/>
  <c r="I108" i="318"/>
  <c r="I259" i="330"/>
  <c r="J6" i="241"/>
  <c r="I26" i="241"/>
  <c r="I46" i="272"/>
  <c r="J39" i="272"/>
  <c r="I40" i="272"/>
  <c r="J40" i="272" s="1"/>
  <c r="H56" i="241"/>
  <c r="H50" i="241"/>
  <c r="C33" i="172"/>
  <c r="G12" i="180"/>
  <c r="H12" i="180" s="1"/>
  <c r="I12" i="180" s="1"/>
  <c r="J126" i="330"/>
  <c r="I258" i="330"/>
  <c r="J39" i="241"/>
  <c r="I49" i="241"/>
  <c r="J26" i="241" l="1"/>
  <c r="I56" i="241"/>
  <c r="I50" i="241"/>
  <c r="J50" i="241" s="1"/>
  <c r="J49" i="241"/>
  <c r="I57" i="241"/>
  <c r="C34" i="172"/>
  <c r="G13" i="180"/>
  <c r="H13" i="180" s="1"/>
  <c r="I13" i="180" s="1"/>
  <c r="G14" i="180" l="1"/>
  <c r="H14" i="180" s="1"/>
  <c r="I14" i="180" s="1"/>
  <c r="C35" i="172"/>
  <c r="G15" i="180" l="1"/>
  <c r="H15" i="180" s="1"/>
  <c r="I15" i="180" s="1"/>
  <c r="C36" i="172"/>
  <c r="G16" i="180" l="1"/>
  <c r="H16" i="180" s="1"/>
  <c r="I16" i="180" s="1"/>
  <c r="C37" i="172"/>
  <c r="G17" i="180" l="1"/>
  <c r="C38" i="172"/>
  <c r="C39" i="172" l="1"/>
  <c r="H17" i="180"/>
  <c r="I17" i="180" s="1"/>
  <c r="F13" i="178"/>
  <c r="G59" i="174"/>
  <c r="G17" i="174" s="1"/>
  <c r="G52" i="174" l="1"/>
  <c r="F36" i="267"/>
  <c r="F26" i="178"/>
  <c r="G39" i="174" l="1"/>
  <c r="K14" i="173" l="1"/>
  <c r="J104" i="172" s="1"/>
  <c r="K12" i="173"/>
  <c r="C15" i="173" l="1"/>
  <c r="B52" i="267" s="1"/>
  <c r="H104" i="172"/>
  <c r="K15" i="173"/>
  <c r="J52" i="267" s="1"/>
  <c r="F35" i="178" l="1"/>
  <c r="G48" i="174"/>
  <c r="F38" i="267" l="1"/>
  <c r="G53" i="174"/>
  <c r="F41" i="178"/>
  <c r="F43" i="178" s="1"/>
  <c r="G14" i="174" l="1"/>
  <c r="G13" i="174"/>
  <c r="F48" i="178" l="1"/>
  <c r="G49" i="174" l="1"/>
  <c r="G10" i="174" s="1"/>
  <c r="F40" i="267"/>
  <c r="F54" i="178"/>
</calcChain>
</file>

<file path=xl/sharedStrings.xml><?xml version="1.0" encoding="utf-8"?>
<sst xmlns="http://schemas.openxmlformats.org/spreadsheetml/2006/main" count="3206" uniqueCount="1615">
  <si>
    <t>Operating expenditure</t>
  </si>
  <si>
    <t>TOTAL LIABILITIES</t>
  </si>
  <si>
    <t>Other Cash Flows/Payments</t>
  </si>
  <si>
    <t>Sept</t>
  </si>
  <si>
    <t>Nov</t>
  </si>
  <si>
    <t>Dec</t>
  </si>
  <si>
    <t>Feb</t>
  </si>
  <si>
    <t>Debt to Equity</t>
  </si>
  <si>
    <t>Creditors Management</t>
  </si>
  <si>
    <t>Creditors System Efficiency</t>
  </si>
  <si>
    <t>S71K</t>
  </si>
  <si>
    <t>S71R</t>
  </si>
  <si>
    <t>Head60</t>
  </si>
  <si>
    <t>0-30 Days</t>
  </si>
  <si>
    <t>31-60 Days</t>
  </si>
  <si>
    <t>61-90 Days</t>
  </si>
  <si>
    <t>91-120 Days</t>
  </si>
  <si>
    <t>121-150 Dys</t>
  </si>
  <si>
    <t>151-180 Dys</t>
  </si>
  <si>
    <t>181 Dys-1 Yr</t>
  </si>
  <si>
    <t>Over 1Yr</t>
  </si>
  <si>
    <t>Grants:</t>
  </si>
  <si>
    <t>National - opex</t>
  </si>
  <si>
    <t>Provincial - opex</t>
  </si>
  <si>
    <t>National - capex</t>
  </si>
  <si>
    <t>Provincial - capex</t>
  </si>
  <si>
    <t>2007/08</t>
  </si>
  <si>
    <t>2008/09</t>
  </si>
  <si>
    <t>2009/10</t>
  </si>
  <si>
    <t>2007/08 Medium Term Revenue &amp; Expenditure Framework</t>
  </si>
  <si>
    <t>2008/09 Medium Term Revenue &amp; Expenditure Framework</t>
  </si>
  <si>
    <t>2009/10 Medium Term Revenue &amp; Expenditure Framework</t>
  </si>
  <si>
    <t>Budget Year 2007/08</t>
  </si>
  <si>
    <t>Budget Year 2008/09</t>
  </si>
  <si>
    <t>Budget Year 2009/10</t>
  </si>
  <si>
    <t>Budget Year +1 2008/09</t>
  </si>
  <si>
    <t>Budget Year +1 2009/10</t>
  </si>
  <si>
    <t>Budget Year +1 2010/11</t>
  </si>
  <si>
    <t>Budget Year +2 2009/10</t>
  </si>
  <si>
    <t>Budget Year +2 2010/11</t>
  </si>
  <si>
    <t>Budget Year +2 2011/12</t>
  </si>
  <si>
    <t>NOTE: This sheet should not be directly amended - select headings from sheet 'S'</t>
  </si>
  <si>
    <t>Prior year -1</t>
  </si>
  <si>
    <t>MTREF header name</t>
  </si>
  <si>
    <t>1st year of MTREF</t>
  </si>
  <si>
    <t>2nd year of MTREF</t>
  </si>
  <si>
    <t>3rd year of MTREF</t>
  </si>
  <si>
    <t>Year of approved budget</t>
  </si>
  <si>
    <t>Approved budget year</t>
  </si>
  <si>
    <t>Report header part name</t>
  </si>
  <si>
    <t>Municipal Infrastructure Grant (MIG)</t>
  </si>
  <si>
    <t>1. Replace 'budget' heading with adjusted budget, or 'outcome' only for month/s complete</t>
  </si>
  <si>
    <t>2. Total of monthly amounts must always agree to the approved or adjusted budget</t>
  </si>
  <si>
    <t>Cash/cash equivalents at the month/year end</t>
  </si>
  <si>
    <t>Cash/cash equivalents at month/year end:</t>
  </si>
  <si>
    <t>Total</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</si>
  <si>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</si>
  <si>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</si>
  <si>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</si>
  <si>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</si>
  <si>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</si>
  <si>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</si>
  <si>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</si>
  <si>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</si>
  <si>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</si>
  <si>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r>
      <t xml:space="preserve">Yield for the month </t>
    </r>
    <r>
      <rPr>
        <sz val="8"/>
        <rFont val="Arial Narrow"/>
        <family val="2"/>
      </rPr>
      <t xml:space="preserve">1 
</t>
    </r>
    <r>
      <rPr>
        <b/>
        <sz val="8"/>
        <rFont val="Arial Narrow"/>
        <family val="2"/>
      </rPr>
      <t>(%)</t>
    </r>
  </si>
  <si>
    <t>Borrowings/Capital expenditure excl. transfers and grants</t>
  </si>
  <si>
    <t>% Volume (units purchased and generated less units sold)/units purchased and generated</t>
  </si>
  <si>
    <t>% Volume (units purchased and own source less units sold)/Total units purchased and own source</t>
  </si>
  <si>
    <t>Transfers and Grants</t>
  </si>
  <si>
    <t>Increase (decrease) in consumer deposits</t>
  </si>
  <si>
    <t>Other transfers and grants</t>
  </si>
  <si>
    <t>6. Include finance leases and PPP capital funding component of unitary payment - total borrowing/repayments to reconcile to changes in Table SA17</t>
  </si>
  <si>
    <t>Service charges - refuse revenue</t>
  </si>
  <si>
    <t>Change in non-current investments</t>
  </si>
  <si>
    <t>Receipt of non-current debtors</t>
  </si>
  <si>
    <t>Receipt of non-current receivables</t>
  </si>
  <si>
    <t>3. Amend 'cash-at-beginning' when prior year actual known (as part of the adjustments budget)</t>
  </si>
  <si>
    <t>Prior year totals for chart (same period)</t>
  </si>
  <si>
    <t>Insert name of municipal entity</t>
  </si>
  <si>
    <t>YESNO</t>
  </si>
  <si>
    <t>No</t>
  </si>
  <si>
    <t>% spend of Original Budget</t>
  </si>
  <si>
    <t>Financial Position</t>
  </si>
  <si>
    <t>Cash Flow</t>
  </si>
  <si>
    <t>Municipal Entities</t>
  </si>
  <si>
    <t>Interest &amp; principal paid/Operating Expenditure</t>
  </si>
  <si>
    <t>Principal paid</t>
  </si>
  <si>
    <t xml:space="preserve">Table C1 </t>
  </si>
  <si>
    <t xml:space="preserve">Table C2 </t>
  </si>
  <si>
    <t xml:space="preserve">Table C3 </t>
  </si>
  <si>
    <t xml:space="preserve">Table C4 </t>
  </si>
  <si>
    <t xml:space="preserve">Table C5 </t>
  </si>
  <si>
    <t xml:space="preserve">Table C6 </t>
  </si>
  <si>
    <t xml:space="preserve">Table C7 </t>
  </si>
  <si>
    <t xml:space="preserve">Chart C1 </t>
  </si>
  <si>
    <t xml:space="preserve">Chart C2 </t>
  </si>
  <si>
    <t xml:space="preserve">Chart C3 </t>
  </si>
  <si>
    <t xml:space="preserve">Chart C4 </t>
  </si>
  <si>
    <t xml:space="preserve">Chart C5 </t>
  </si>
  <si>
    <t xml:space="preserve">Supporting Table SC1 </t>
  </si>
  <si>
    <t xml:space="preserve">Supporting Table SC2 </t>
  </si>
  <si>
    <t xml:space="preserve">Supporting Table SC3 </t>
  </si>
  <si>
    <t xml:space="preserve">Supporting Table SC4 </t>
  </si>
  <si>
    <t xml:space="preserve">Supporting Table SC5 </t>
  </si>
  <si>
    <t xml:space="preserve">Supporting Table SC6 </t>
  </si>
  <si>
    <t xml:space="preserve">Supporting Table SC8 </t>
  </si>
  <si>
    <t xml:space="preserve">Supporting Table SC9 </t>
  </si>
  <si>
    <t xml:space="preserve">Supporting Table SC10 </t>
  </si>
  <si>
    <t xml:space="preserve">Supporting Table SC11 </t>
  </si>
  <si>
    <t xml:space="preserve">Supporting Table SC12 </t>
  </si>
  <si>
    <t>Executive and council</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</si>
  <si>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</si>
  <si>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</si>
  <si>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</si>
  <si>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</si>
  <si>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</si>
  <si>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</si>
  <si>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</si>
  <si>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</si>
  <si>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</si>
  <si>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Waste water management</t>
  </si>
  <si>
    <t>Waste management</t>
  </si>
  <si>
    <t>R thousand</t>
  </si>
  <si>
    <t>1. Insert 'Vote'; e.g. Department, if different to standard structure</t>
  </si>
  <si>
    <t>2. Must reconcile to Financial Performance ('Revenue and Expenditure by Standard Classification' and 'Revenue and Expenditure')</t>
  </si>
  <si>
    <t>3. Assign share in 'associate' to relevant Vote</t>
  </si>
  <si>
    <t>Period of Investment</t>
  </si>
  <si>
    <t>Yrs/Months</t>
  </si>
  <si>
    <t>Municipality sub-total</t>
  </si>
  <si>
    <t>Entities</t>
  </si>
  <si>
    <t>Entities sub-total</t>
  </si>
  <si>
    <t>TOTAL INVESTMENTS AND INTEREST</t>
  </si>
  <si>
    <t>TOTAL EXPENDITURE OF TRANSFERS AND GRANTS</t>
  </si>
  <si>
    <t>TOTAL MANAGERS AND STAFF</t>
  </si>
  <si>
    <t>Transfer receipts - operating</t>
  </si>
  <si>
    <t>Transfer receipts - capital</t>
  </si>
  <si>
    <t>Total Revenue (excluding capital transfers and contributions)</t>
  </si>
  <si>
    <t>Reticulation</t>
  </si>
  <si>
    <t>Community wealth/Equity</t>
  </si>
  <si>
    <t>Total sources of capital funds</t>
  </si>
  <si>
    <t>Governance and administration</t>
  </si>
  <si>
    <t>1. Government Finance Statistics Functions and Sub-functions are standardised to assist the compilation of national and international accounts for comparison purposes</t>
  </si>
  <si>
    <t>2. Must reconcile to Monthly Budget Statement - Financial Performance Statement (standard classification)</t>
  </si>
  <si>
    <t>Surplus/(Deficit) attributable to municipality</t>
  </si>
  <si>
    <t>1. Material variances to be explained on Table SC1</t>
  </si>
  <si>
    <t>2. Include capital component of PPP unitary payment</t>
  </si>
  <si>
    <t>5. Must reconcile to Monthly Budget Statement Financial Performance (revenue and expenditure)</t>
  </si>
  <si>
    <t>1. Municipalities may choose to appropriate for capital expenditure for three years or for one year (if one year appropriation projected expenditure required for yr2 and yr3).</t>
  </si>
  <si>
    <t>1. Material variances to be explained in Table SC1</t>
  </si>
  <si>
    <t>Type of Entities Range:</t>
  </si>
  <si>
    <t>Consolidated Information</t>
  </si>
  <si>
    <t>MTREF Range:</t>
  </si>
  <si>
    <t>MTREF Linked:</t>
  </si>
  <si>
    <t>MTREF:</t>
  </si>
  <si>
    <t>Fin Year:</t>
  </si>
  <si>
    <t>Type of report:</t>
  </si>
  <si>
    <t xml:space="preserve">Supporting Table SC13a </t>
  </si>
  <si>
    <t xml:space="preserve">Supporting Table SC13b </t>
  </si>
  <si>
    <t xml:space="preserve">Supporting Table SC13c </t>
  </si>
  <si>
    <t>S71Sa</t>
  </si>
  <si>
    <t>S71Sb</t>
  </si>
  <si>
    <t>S71Sc</t>
  </si>
  <si>
    <t>Municipal governance and administration</t>
  </si>
  <si>
    <t>Mayor and Council</t>
  </si>
  <si>
    <t>Human Resources</t>
  </si>
  <si>
    <t>Information Technology</t>
  </si>
  <si>
    <t>Property Services</t>
  </si>
  <si>
    <t>Libraries and Archives</t>
  </si>
  <si>
    <t>Aged Care</t>
  </si>
  <si>
    <t>Police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</si>
  <si>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</si>
  <si>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</si>
  <si>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</si>
  <si>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</si>
  <si>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</si>
  <si>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</si>
  <si>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</si>
  <si>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</si>
  <si>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</si>
  <si>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</si>
  <si>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</si>
  <si>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check oprev balance</t>
  </si>
  <si>
    <t>check opexp balance</t>
  </si>
  <si>
    <t>Parent Municipality</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</si>
  <si>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</si>
  <si>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</si>
  <si>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</si>
  <si>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</si>
  <si>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</si>
  <si>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</si>
  <si>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</si>
  <si>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</si>
  <si>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</si>
  <si>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</si>
  <si>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</si>
  <si>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</si>
  <si>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</si>
  <si>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</si>
  <si>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</si>
  <si>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</si>
  <si>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</si>
  <si>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</si>
  <si>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</si>
  <si>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</si>
  <si>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</si>
  <si>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</si>
  <si>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</si>
  <si>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</si>
  <si>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</si>
  <si>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</si>
  <si>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</si>
  <si>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</si>
  <si>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</si>
  <si>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</si>
  <si>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</si>
  <si>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</si>
  <si>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</si>
  <si>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</si>
  <si>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</si>
  <si>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</si>
  <si>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</si>
  <si>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</si>
  <si>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</si>
  <si>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</si>
  <si>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</si>
  <si>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</si>
  <si>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</si>
  <si>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</si>
  <si>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</si>
  <si>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</si>
  <si>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</si>
  <si>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</si>
  <si>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</si>
  <si>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</si>
  <si>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</si>
  <si>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</si>
  <si>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</si>
  <si>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</si>
  <si>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</si>
  <si>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</si>
  <si>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</si>
  <si>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</si>
  <si>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</si>
  <si>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</si>
  <si>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</si>
  <si>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</si>
  <si>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</si>
  <si>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</si>
  <si>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</si>
  <si>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</si>
  <si>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</si>
  <si>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</si>
  <si>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</si>
  <si>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</si>
  <si>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</si>
  <si>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</si>
  <si>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</si>
  <si>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</si>
  <si>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</si>
  <si>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</si>
  <si>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</si>
  <si>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</si>
  <si>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</si>
  <si>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</si>
  <si>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</si>
  <si>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</si>
  <si>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</si>
  <si>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</si>
  <si>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</si>
  <si>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</si>
  <si>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</si>
  <si>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</si>
  <si>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</si>
  <si>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</si>
  <si>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</si>
  <si>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</si>
  <si>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</si>
  <si>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</si>
  <si>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</si>
  <si>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</si>
  <si>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</si>
  <si>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</si>
  <si>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Investments in Associate</t>
  </si>
  <si>
    <t>KZN245 Umvoti</t>
  </si>
  <si>
    <t>KZN252 Newcastle</t>
  </si>
  <si>
    <t>KZN253 eMadlangeni</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</si>
  <si>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</si>
  <si>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</si>
  <si>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</si>
  <si>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</si>
  <si>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</si>
  <si>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</si>
  <si>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</si>
  <si>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</si>
  <si>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</si>
  <si>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</si>
  <si>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</si>
  <si>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</si>
  <si>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</si>
  <si>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</si>
  <si>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</si>
  <si>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</si>
  <si>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</si>
  <si>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</si>
  <si>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</si>
  <si>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</si>
  <si>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</si>
  <si>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</si>
  <si>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</si>
  <si>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</si>
  <si>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</si>
  <si>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</si>
  <si>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</si>
  <si>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</si>
  <si>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</si>
  <si>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</si>
  <si>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</si>
  <si>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</si>
  <si>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</si>
  <si>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</si>
  <si>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</si>
  <si>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</si>
  <si>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</si>
  <si>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</si>
  <si>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</si>
  <si>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</si>
  <si>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</si>
  <si>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</si>
  <si>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</si>
  <si>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</si>
  <si>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</si>
  <si>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</si>
  <si>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</si>
  <si>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</si>
  <si>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</si>
  <si>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</si>
  <si>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</si>
  <si>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</si>
  <si>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</si>
  <si>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</si>
  <si>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</si>
  <si>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</si>
  <si>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</si>
  <si>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</si>
  <si>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</si>
  <si>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</si>
  <si>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</si>
  <si>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</si>
  <si>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</si>
  <si>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</si>
  <si>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</si>
  <si>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</si>
  <si>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</si>
  <si>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</si>
  <si>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</si>
  <si>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</si>
  <si>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</si>
  <si>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</si>
  <si>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</si>
  <si>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</si>
  <si>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</si>
  <si>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</si>
  <si>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</si>
  <si>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</si>
  <si>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</si>
  <si>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</si>
  <si>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</si>
  <si>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</si>
  <si>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</si>
  <si>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</si>
  <si>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</si>
  <si>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</si>
  <si>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</si>
  <si>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</si>
  <si>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</si>
  <si>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</si>
  <si>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</si>
  <si>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</si>
  <si>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</si>
  <si>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</si>
  <si>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</si>
  <si>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</si>
  <si>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</si>
  <si>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</si>
  <si>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</si>
  <si>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</si>
  <si>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</si>
  <si>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</si>
  <si>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</si>
  <si>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</si>
  <si>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</si>
  <si>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</si>
  <si>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</si>
  <si>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</si>
  <si>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</si>
  <si>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</si>
  <si>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</si>
  <si>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</si>
  <si>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</si>
  <si>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</si>
  <si>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</si>
  <si>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</si>
  <si>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</si>
  <si>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</si>
  <si>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</si>
  <si>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</si>
  <si>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</si>
  <si>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</si>
  <si>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</si>
  <si>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</si>
  <si>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</si>
  <si>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</si>
  <si>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</si>
  <si>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</si>
  <si>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</si>
  <si>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</si>
  <si>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</si>
  <si>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</si>
  <si>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</si>
  <si>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</si>
  <si>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</si>
  <si>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</si>
  <si>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</si>
  <si>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</si>
  <si>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</si>
  <si>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</si>
  <si>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</si>
  <si>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</si>
  <si>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</si>
  <si>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</si>
  <si>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</si>
  <si>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Councillors (Political Office Bearers plus Other)</t>
  </si>
  <si>
    <t>Medical Aid Contributions</t>
  </si>
  <si>
    <t>Sub Total - Councillors</t>
  </si>
  <si>
    <t>Performance Bonus</t>
  </si>
  <si>
    <t>Sub Total - Senior Managers of Municipality</t>
  </si>
  <si>
    <t>Other Municipal Staff</t>
  </si>
  <si>
    <t>Sub Total - Other Municipal Staff</t>
  </si>
  <si>
    <t>Schedule of funding diligence</t>
  </si>
  <si>
    <t>Other expenditure</t>
  </si>
  <si>
    <t>Present value</t>
  </si>
  <si>
    <t>Monetary Assets/Current Liabilities</t>
  </si>
  <si>
    <t>Revenue Management</t>
  </si>
  <si>
    <t>Variance</t>
  </si>
  <si>
    <t>6. For Sept, Dec, Mar and Jun statements explain any material variances in achievement of measurable performance objectives</t>
  </si>
  <si>
    <t>Decrease (Increase) in non-current debtors</t>
  </si>
  <si>
    <t>Abattoirs</t>
  </si>
  <si>
    <t>Markets</t>
  </si>
  <si>
    <t>Forecast 2019/20</t>
  </si>
  <si>
    <t>Forecast 2018/19</t>
  </si>
  <si>
    <t>National Government</t>
  </si>
  <si>
    <t>(Available cash + Investments)/monthly fixed operational expenditure</t>
  </si>
  <si>
    <t>Debt service payments</t>
  </si>
  <si>
    <t>Annual services revenue</t>
  </si>
  <si>
    <t>Cash + investments</t>
  </si>
  <si>
    <t>Including LT investments</t>
  </si>
  <si>
    <t>Total Parent Municipality</t>
  </si>
  <si>
    <t>Total Municipal Entities</t>
  </si>
  <si>
    <t>Finance charges</t>
  </si>
  <si>
    <t>Other revenue</t>
  </si>
  <si>
    <t>Non current assets</t>
  </si>
  <si>
    <t>LIABILITIES</t>
  </si>
  <si>
    <t>Total Creditors</t>
  </si>
  <si>
    <t>Non current liabilities</t>
  </si>
  <si>
    <t>Total non current liabilities</t>
  </si>
  <si>
    <t>Total current liabilities</t>
  </si>
  <si>
    <t>Nat. or Prov. Govt</t>
  </si>
  <si>
    <t>Multi-year capital</t>
  </si>
  <si>
    <t xml:space="preserve"> - Adjustments Budget - Month YYYY</t>
  </si>
  <si>
    <t>Taxation</t>
  </si>
  <si>
    <t>Surplus/(Deficit) after taxation</t>
  </si>
  <si>
    <t>Attributable to minorities</t>
  </si>
  <si>
    <t>Last 12 Mths Receipts/ Last 12 Mths Billing</t>
  </si>
  <si>
    <t>Outstanding Debtors to Revenue</t>
  </si>
  <si>
    <t>Funded by:</t>
  </si>
  <si>
    <t>Internally generated funds</t>
  </si>
  <si>
    <t>Monthly expenditure performance trend</t>
  </si>
  <si>
    <t>Single Year expenditure appropriation</t>
  </si>
  <si>
    <t>Employee costs</t>
  </si>
  <si>
    <t>C</t>
  </si>
  <si>
    <t>Remuneration of councillors</t>
  </si>
  <si>
    <t>Public contributions &amp; donations</t>
  </si>
  <si>
    <t>Share of surplus/ (deficit) of associate</t>
  </si>
  <si>
    <t>Surplus/ (Deficit) for the yr/period</t>
  </si>
  <si>
    <t>Year11</t>
  </si>
  <si>
    <t>Year12</t>
  </si>
  <si>
    <t>Year13</t>
  </si>
  <si>
    <t>Year14</t>
  </si>
  <si>
    <t>Year15</t>
  </si>
  <si>
    <t>Service charges - refuse</t>
  </si>
  <si>
    <t>Revenue By Source</t>
  </si>
  <si>
    <t>Expenditure By Type</t>
  </si>
  <si>
    <t>Total Expenditure</t>
  </si>
  <si>
    <t>Surplus/(Deficit)</t>
  </si>
  <si>
    <t>Basic Salaries and Wages</t>
  </si>
  <si>
    <t>Total outstanding service debtors/annual revenue received for services</t>
  </si>
  <si>
    <t>Financial position</t>
  </si>
  <si>
    <t>Cash flows</t>
  </si>
  <si>
    <t>Other own revenue</t>
  </si>
  <si>
    <t>Materials and bulk purchases</t>
  </si>
  <si>
    <t>Investment revenue</t>
  </si>
  <si>
    <t>Reasons for material deviations</t>
  </si>
  <si>
    <t>Remedial or corrective steps/remarks</t>
  </si>
  <si>
    <t>Capital transfers recognised</t>
  </si>
  <si>
    <t>Annual Debtors Collection Rate 
(Payment Level %)</t>
  </si>
  <si>
    <t>Debtors &gt; 12 Mths Recovered/Total Debtors &gt; 
12 Months Old</t>
  </si>
  <si>
    <t>Water Distribution Losses</t>
  </si>
  <si>
    <t>Electricity Distribution Losses</t>
  </si>
  <si>
    <t>1. Consumer debtors &gt; 12 months old are excluded from current assets.</t>
  </si>
  <si>
    <t>Cash/cash equivalents at beginning:</t>
  </si>
  <si>
    <t xml:space="preserve"> </t>
  </si>
  <si>
    <t xml:space="preserve">Total
</t>
  </si>
  <si>
    <t>Head40</t>
  </si>
  <si>
    <t>Head41</t>
  </si>
  <si>
    <t>Head42</t>
  </si>
  <si>
    <t>Sub Total - Other Staff of Entities</t>
  </si>
  <si>
    <t>Senior Managers of the Municipality</t>
  </si>
  <si>
    <t>Funding of Provisions</t>
  </si>
  <si>
    <t>Percentage Of Provisions Not Funded</t>
  </si>
  <si>
    <t>Unfunded Provisions/Total Provisions</t>
  </si>
  <si>
    <t>Other Indicators</t>
  </si>
  <si>
    <t>Borrowing Management</t>
  </si>
  <si>
    <t>Audited Outcome</t>
  </si>
  <si>
    <t>4. Housing subsidies for housing where ownership transferred</t>
  </si>
  <si>
    <t>District Municipality:</t>
  </si>
  <si>
    <t>Ambulance</t>
  </si>
  <si>
    <t>Quarter ended 30 June</t>
  </si>
  <si>
    <t>Head35</t>
  </si>
  <si>
    <t>Quarter ended 30 September</t>
  </si>
  <si>
    <t>4. Include expenditure on investment property, intangible and biological assets</t>
  </si>
  <si>
    <t>4,7</t>
  </si>
  <si>
    <t>Calculations</t>
  </si>
  <si>
    <t>Outstanding debtors (receivables)</t>
  </si>
  <si>
    <t>Total Assets</t>
  </si>
  <si>
    <t>Interest (finance charges)</t>
  </si>
  <si>
    <t>Depreciation</t>
  </si>
  <si>
    <t>Debt</t>
  </si>
  <si>
    <t>Equity</t>
  </si>
  <si>
    <t>Borrowed funding for capital</t>
  </si>
  <si>
    <t>Monetary assets</t>
  </si>
  <si>
    <t>Bad debts = amounts actually written off in the month</t>
  </si>
  <si>
    <t>2. Total market value must reconcile with the total of investments on the 'Financial Position statement'</t>
  </si>
  <si>
    <t>Other transfers and grants [insert description]</t>
  </si>
  <si>
    <r>
      <t xml:space="preserve">Other capital transfers </t>
    </r>
    <r>
      <rPr>
        <i/>
        <sz val="8"/>
        <rFont val="Arial Narrow"/>
        <family val="2"/>
      </rPr>
      <t>[insert description]</t>
    </r>
  </si>
  <si>
    <t>EXPENDITURE</t>
  </si>
  <si>
    <t>B</t>
  </si>
  <si>
    <t>Current assets/current liabilities</t>
  </si>
  <si>
    <t>Accrued interest for the month</t>
  </si>
  <si>
    <t>Market value at beginning of the month</t>
  </si>
  <si>
    <t>Overtime</t>
  </si>
  <si>
    <t>Total Operating Revenue</t>
  </si>
  <si>
    <t>September</t>
  </si>
  <si>
    <t>ASSETS</t>
  </si>
  <si>
    <t>Current assets</t>
  </si>
  <si>
    <t>Investments</t>
  </si>
  <si>
    <t>Current liabilities</t>
  </si>
  <si>
    <t>Provisions</t>
  </si>
  <si>
    <t>Head25</t>
  </si>
  <si>
    <t>fdil</t>
  </si>
  <si>
    <t>Head5A</t>
  </si>
  <si>
    <t>Outcome</t>
  </si>
  <si>
    <t>Expenditure By Municipal Entity</t>
  </si>
  <si>
    <t>Revenue By Municipal Entity</t>
  </si>
  <si>
    <t>Libraries</t>
  </si>
  <si>
    <t>Description of financial indicator</t>
  </si>
  <si>
    <t>2006/07</t>
  </si>
  <si>
    <t>Board Members of Entities</t>
  </si>
  <si>
    <t>Board Fees</t>
  </si>
  <si>
    <t>Forecast 2014/15</t>
  </si>
  <si>
    <t>Forecast 2015/16</t>
  </si>
  <si>
    <t>Forecast 2016/17</t>
  </si>
  <si>
    <t>Forecast 2017/18</t>
  </si>
  <si>
    <t>Forecast 2020/21</t>
  </si>
  <si>
    <t>Head28</t>
  </si>
  <si>
    <t>Result</t>
  </si>
  <si>
    <t>Total Capital expenditure</t>
  </si>
  <si>
    <t>Municipal Systems Improvement</t>
  </si>
  <si>
    <t>[insert description]</t>
  </si>
  <si>
    <t>Cash/cash equivalents at the month/year beginning:</t>
  </si>
  <si>
    <t>Accumulated Surplus/(Deficit)</t>
  </si>
  <si>
    <t>Yes</t>
  </si>
  <si>
    <t>Ref</t>
  </si>
  <si>
    <t>5. Insert additional 'Adjustment' Budget column for each Adjustment made by an entity</t>
  </si>
  <si>
    <t>Head48</t>
  </si>
  <si>
    <t>NET INCREASE/(DECREASE) IN CASH HELD</t>
  </si>
  <si>
    <t>%</t>
  </si>
  <si>
    <t>S71C</t>
  </si>
  <si>
    <t>S71D</t>
  </si>
  <si>
    <t>S71G</t>
  </si>
  <si>
    <t>Loss on disposal of PPE</t>
  </si>
  <si>
    <t>A</t>
  </si>
  <si>
    <t>Agency services</t>
  </si>
  <si>
    <t>Capital expenditure</t>
  </si>
  <si>
    <t>Variance explanation</t>
  </si>
  <si>
    <t>Consumer deposits</t>
  </si>
  <si>
    <t>Property, plant and equipment</t>
  </si>
  <si>
    <t>Investment property</t>
  </si>
  <si>
    <t>Long-term receivables</t>
  </si>
  <si>
    <t>Inventory</t>
  </si>
  <si>
    <t>Consumer debtors</t>
  </si>
  <si>
    <t>Other debtors</t>
  </si>
  <si>
    <t>Call investment deposits</t>
  </si>
  <si>
    <t>VAT (output less input)</t>
  </si>
  <si>
    <t>0400</t>
  </si>
  <si>
    <t>Pensions / Retirement deductions</t>
  </si>
  <si>
    <t>0500</t>
  </si>
  <si>
    <t>Loan repayments</t>
  </si>
  <si>
    <t>0600</t>
  </si>
  <si>
    <t>Trade Creditors</t>
  </si>
  <si>
    <t>0700</t>
  </si>
  <si>
    <t>Auditor General</t>
  </si>
  <si>
    <t>0800</t>
  </si>
  <si>
    <t>0900</t>
  </si>
  <si>
    <t>5. Total recurrent/capital grants and subsidies must reconcile to the 'Financial Performance' Statement</t>
  </si>
  <si>
    <t>Provincial Government</t>
  </si>
  <si>
    <t>District Municipality</t>
  </si>
  <si>
    <t>D</t>
  </si>
  <si>
    <t>Type of Investment</t>
  </si>
  <si>
    <t>Expiry date of investment</t>
  </si>
  <si>
    <t>Original Budget</t>
  </si>
  <si>
    <t>Health</t>
  </si>
  <si>
    <t>Debt impairment</t>
  </si>
  <si>
    <t>Quarter ended 31 December</t>
  </si>
  <si>
    <t>Quarter ended 31 March</t>
  </si>
  <si>
    <t>Head44</t>
  </si>
  <si>
    <t>Head45</t>
  </si>
  <si>
    <t>2001 Census</t>
  </si>
  <si>
    <t>1996 Census</t>
  </si>
  <si>
    <t>Year10</t>
  </si>
  <si>
    <t>3. YTD = Year to date; FAV - favourable variance or unfavourable variance</t>
  </si>
  <si>
    <t>Material increases in value of creditors' categories compared to previous month to be explained</t>
  </si>
  <si>
    <t>Material increases in value of debtors' categories compared to previous month to be explained</t>
  </si>
  <si>
    <t>National Government:</t>
  </si>
  <si>
    <t>Provincial Government:</t>
  </si>
  <si>
    <t>Does this municipality have entities (consolidated budget and entity budgets required)? YES/NO</t>
  </si>
  <si>
    <t>1. Votes (consolidated) are revenue sources and expenditure type</t>
  </si>
  <si>
    <t>TOTAL COMMUNITY WEALTH/EQUITY</t>
  </si>
  <si>
    <t>Head24</t>
  </si>
  <si>
    <t>Desc</t>
  </si>
  <si>
    <t>Downward adjusts</t>
  </si>
  <si>
    <t>Previous target year to complete</t>
  </si>
  <si>
    <t>Total non current assets</t>
  </si>
  <si>
    <t>Total current assets</t>
  </si>
  <si>
    <t>COMMUNITY WEALTH/EQUITY</t>
  </si>
  <si>
    <t>Total Expenditure by Vote</t>
  </si>
  <si>
    <t>Total Revenue by Vote</t>
  </si>
  <si>
    <t>S71sum</t>
  </si>
  <si>
    <t>Head49</t>
  </si>
  <si>
    <t>Head50</t>
  </si>
  <si>
    <t>Virement</t>
  </si>
  <si>
    <t>Total Outstanding Debtors to Annual Revenue</t>
  </si>
  <si>
    <t>4. Material variances to be explained</t>
  </si>
  <si>
    <t>Common sheet headings</t>
  </si>
  <si>
    <t>Infrastructure</t>
  </si>
  <si>
    <t>Head47</t>
  </si>
  <si>
    <t>Head27a</t>
  </si>
  <si>
    <t>References</t>
  </si>
  <si>
    <t>Net cash from (used) financing</t>
  </si>
  <si>
    <t>Net cash from (used) operating</t>
  </si>
  <si>
    <t>Net cash from (used) investing</t>
  </si>
  <si>
    <t>Summary of Employee and Councillor remuneration</t>
  </si>
  <si>
    <t>IDP regulation financial viability indicators</t>
  </si>
  <si>
    <t>i. Debt coverage</t>
  </si>
  <si>
    <t>iii. Cost coverage</t>
  </si>
  <si>
    <t>Forecast Financial Position</t>
  </si>
  <si>
    <t>Cash1</t>
  </si>
  <si>
    <t>Cash2</t>
  </si>
  <si>
    <t>Muni</t>
  </si>
  <si>
    <t>Head26</t>
  </si>
  <si>
    <t>Vote Description</t>
  </si>
  <si>
    <t>VDesc</t>
  </si>
  <si>
    <t>Head27</t>
  </si>
  <si>
    <t>Multi-Year expenditure appropriation</t>
  </si>
  <si>
    <t>Creditors Age Analysis By Customer Type</t>
  </si>
  <si>
    <t>Depreciation &amp; asset impairment</t>
  </si>
  <si>
    <t>Head55</t>
  </si>
  <si>
    <t>Dividends</t>
  </si>
  <si>
    <t>R thousands</t>
  </si>
  <si>
    <t>Other Cash Flows/Payments by Type</t>
  </si>
  <si>
    <t>Cash/cash equivalents at the month/year end:</t>
  </si>
  <si>
    <t>Heritage assets</t>
  </si>
  <si>
    <t>Investment properties</t>
  </si>
  <si>
    <t>Other assets</t>
  </si>
  <si>
    <t>Description</t>
  </si>
  <si>
    <t>YTD  Actual 31 Dec</t>
  </si>
  <si>
    <t>YTD  Budget 31 Dec</t>
  </si>
  <si>
    <t>S71A</t>
  </si>
  <si>
    <t>S71B</t>
  </si>
  <si>
    <t>S71E</t>
  </si>
  <si>
    <t>S71F</t>
  </si>
  <si>
    <t>S71H</t>
  </si>
  <si>
    <t>S71I</t>
  </si>
  <si>
    <t>S71J</t>
  </si>
  <si>
    <t>s71 charts listing</t>
  </si>
  <si>
    <t>Head2A</t>
  </si>
  <si>
    <t>Households</t>
  </si>
  <si>
    <t>Bulk Electricity</t>
  </si>
  <si>
    <t>0100</t>
  </si>
  <si>
    <t>Bulk Water</t>
  </si>
  <si>
    <t>0200</t>
  </si>
  <si>
    <t>PAYE deductions</t>
  </si>
  <si>
    <t>0300</t>
  </si>
  <si>
    <t>Budget Cash Flow</t>
  </si>
  <si>
    <t>Forecast Cash Flow</t>
  </si>
  <si>
    <t>Expenditure includes repairs &amp; maintenance of R'000</t>
  </si>
  <si>
    <t>RandM</t>
  </si>
  <si>
    <t>Government - operating</t>
  </si>
  <si>
    <t>Government - capital</t>
  </si>
  <si>
    <t>Suppliers and employees</t>
  </si>
  <si>
    <t>Capital assets</t>
  </si>
  <si>
    <t>Year1</t>
  </si>
  <si>
    <t>Year2</t>
  </si>
  <si>
    <t>Year3</t>
  </si>
  <si>
    <t>Year4</t>
  </si>
  <si>
    <t>Year5</t>
  </si>
  <si>
    <t>Year6</t>
  </si>
  <si>
    <t>Year7</t>
  </si>
  <si>
    <t>Year8</t>
  </si>
  <si>
    <t>Year9</t>
  </si>
  <si>
    <t>Forecast 2010/11</t>
  </si>
  <si>
    <t>Forecast 2011/12</t>
  </si>
  <si>
    <t>Forecast 2012/13</t>
  </si>
  <si>
    <t>Forecast 2013/14</t>
  </si>
  <si>
    <t>Housing</t>
  </si>
  <si>
    <t>Agricultural</t>
  </si>
  <si>
    <t>Head57</t>
  </si>
  <si>
    <t>1. Insert 'Vote'; e.g. Department, if different to standard classification structure</t>
  </si>
  <si>
    <t>YearTD actual</t>
  </si>
  <si>
    <t>YearTD budget</t>
  </si>
  <si>
    <t>Other Staff of Entities</t>
  </si>
  <si>
    <t>Other</t>
  </si>
  <si>
    <t>Long Term Borrowing/ Funds &amp; Reserves</t>
  </si>
  <si>
    <t>check balance</t>
  </si>
  <si>
    <t>CASH FLOWS FROM INVESTING ACTIVITIES</t>
  </si>
  <si>
    <t>% increase</t>
  </si>
  <si>
    <t>Other Cash Flows by Source</t>
  </si>
  <si>
    <t>Longstanding debtors recovered</t>
  </si>
  <si>
    <t>Fixed operational expend. (monthly)</t>
  </si>
  <si>
    <t>0 - 
30 Days</t>
  </si>
  <si>
    <t>31 - 
60 Days</t>
  </si>
  <si>
    <t>61 - 
90 Days</t>
  </si>
  <si>
    <t>91 - 
120 Days</t>
  </si>
  <si>
    <t>121 - 
150 Days</t>
  </si>
  <si>
    <t>151 - 
180 Days</t>
  </si>
  <si>
    <t>181 Days -
1 Year</t>
  </si>
  <si>
    <t>Over 1
Year</t>
  </si>
  <si>
    <t>NT Code</t>
  </si>
  <si>
    <t>Gearing</t>
  </si>
  <si>
    <t>Safety of Capital</t>
  </si>
  <si>
    <t>Liquidity</t>
  </si>
  <si>
    <t>Liquidity Ratio</t>
  </si>
  <si>
    <t>I&amp;D/Total Revenue - capital revenue</t>
  </si>
  <si>
    <t>Head36</t>
  </si>
  <si>
    <t>Head37</t>
  </si>
  <si>
    <t>Head38</t>
  </si>
  <si>
    <t>CASH FLOWS FROM FINANCING ACTIVITIES</t>
  </si>
  <si>
    <t>Bank overdraft</t>
  </si>
  <si>
    <t>S71L</t>
  </si>
  <si>
    <t>Head39</t>
  </si>
  <si>
    <t>Monthly actual</t>
  </si>
  <si>
    <t>Financial Performance</t>
  </si>
  <si>
    <t>Revenue by Vote</t>
  </si>
  <si>
    <t>Expenditure by Vote</t>
  </si>
  <si>
    <t>Standard nomenclature</t>
  </si>
  <si>
    <t>Surplus/(Deficit) after capital transfers &amp; contributions</t>
  </si>
  <si>
    <t>Repairs &amp; Maintenance</t>
  </si>
  <si>
    <t>Interest &amp; Depreciation</t>
  </si>
  <si>
    <t>Employee costs/Total Revenue - capital revenue</t>
  </si>
  <si>
    <t>R&amp;M/Total Revenue - capital revenue</t>
  </si>
  <si>
    <t>Total Capital Multi-year expenditure</t>
  </si>
  <si>
    <t>Total Capital single-year expenditure</t>
  </si>
  <si>
    <t>Total Capital Expenditure</t>
  </si>
  <si>
    <t>Head29</t>
  </si>
  <si>
    <t>Head30</t>
  </si>
  <si>
    <t>Head31</t>
  </si>
  <si>
    <t>Head32</t>
  </si>
  <si>
    <t>Head33</t>
  </si>
  <si>
    <t>Head34</t>
  </si>
  <si>
    <t>Annual target 2007/08</t>
  </si>
  <si>
    <t>Revised target 2007/08</t>
  </si>
  <si>
    <t>Sub Total - Board Members of Entities</t>
  </si>
  <si>
    <t>Sport and Recreation</t>
  </si>
  <si>
    <t>Basis of calculation</t>
  </si>
  <si>
    <t>S71O</t>
  </si>
  <si>
    <t>S71P</t>
  </si>
  <si>
    <t>S71Q</t>
  </si>
  <si>
    <t>NET ASSETS</t>
  </si>
  <si>
    <t>TOTAL ASSETS</t>
  </si>
  <si>
    <t>Borrowing</t>
  </si>
  <si>
    <t>Longstanding debtors outstanding</t>
  </si>
  <si>
    <t>Attorney collections</t>
  </si>
  <si>
    <t>July</t>
  </si>
  <si>
    <t>Head43</t>
  </si>
  <si>
    <t>YTD variance</t>
  </si>
  <si>
    <t>Cash</t>
  </si>
  <si>
    <t>Current portion of long-term receivables</t>
  </si>
  <si>
    <t>Trade and other payables</t>
  </si>
  <si>
    <t>(Total Operating Revenue - Operating Grants)/Debt service payments due within financial year)</t>
  </si>
  <si>
    <t>Notes</t>
  </si>
  <si>
    <t>Head56</t>
  </si>
  <si>
    <t>Total Adjusts.</t>
  </si>
  <si>
    <t>% of Creditors Paid Within Terms (within MFMA s 65(e))</t>
  </si>
  <si>
    <t>ii. O/S Service Debtors to Revenue</t>
  </si>
  <si>
    <t>s71 (Monthly Mayor report) schedules and charts</t>
  </si>
  <si>
    <t>Other non-current assets</t>
  </si>
  <si>
    <t>NOT REQUIRED - municipality does not have entities or this is the parent municipality's budget</t>
  </si>
  <si>
    <t>Capital expenditure - Municipal Vote</t>
  </si>
  <si>
    <t>Total multi-year capital expenditure</t>
  </si>
  <si>
    <t>Total single-year capital expenditure</t>
  </si>
  <si>
    <t>Expenditure of multi-year capital appropriation</t>
  </si>
  <si>
    <t>Expenditue of single-year capital appropriation</t>
  </si>
  <si>
    <t>Vote 15</t>
  </si>
  <si>
    <t>Vote 14</t>
  </si>
  <si>
    <t>Vote 13</t>
  </si>
  <si>
    <t>Vote 12</t>
  </si>
  <si>
    <t>Vote 11</t>
  </si>
  <si>
    <t>Vote 10</t>
  </si>
  <si>
    <t>Vote 9</t>
  </si>
  <si>
    <t>Vote 8</t>
  </si>
  <si>
    <t>Vote 7</t>
  </si>
  <si>
    <t>Vote 6</t>
  </si>
  <si>
    <t>Vote 5</t>
  </si>
  <si>
    <t>Vote 4</t>
  </si>
  <si>
    <t>Vote 3</t>
  </si>
  <si>
    <t>Vote 2</t>
  </si>
  <si>
    <t>Vote 1</t>
  </si>
  <si>
    <t>3. Replacement of RSC levies</t>
  </si>
  <si>
    <t>Other grant providers:</t>
  </si>
  <si>
    <t>Capital Expenditure By Municipal Entity</t>
  </si>
  <si>
    <t>Capital Charges to Operating Expenditure</t>
  </si>
  <si>
    <t>Head51</t>
  </si>
  <si>
    <t>Head52</t>
  </si>
  <si>
    <t>Head53</t>
  </si>
  <si>
    <t>Head54</t>
  </si>
  <si>
    <t>Accum. Funds</t>
  </si>
  <si>
    <t>Other Adjusts.</t>
  </si>
  <si>
    <t>Unfore. Unavoid.</t>
  </si>
  <si>
    <t>Senior Managers of Entities</t>
  </si>
  <si>
    <t>Sub Total - Senior Managers of Entities</t>
  </si>
  <si>
    <t>Adjusted Budget</t>
  </si>
  <si>
    <t>Full Year Forecast</t>
  </si>
  <si>
    <t>Service charges - electricity revenue</t>
  </si>
  <si>
    <t>Service charges - water revenue</t>
  </si>
  <si>
    <t>Service charges - sanitation revenue</t>
  </si>
  <si>
    <t>Service charges - other</t>
  </si>
  <si>
    <t>CASH FLOW FROM OPERATING ACTIVITIES</t>
  </si>
  <si>
    <t>Increase in consumer deposits</t>
  </si>
  <si>
    <t>Interest earned - external investments</t>
  </si>
  <si>
    <t>Interest earned - outstanding debtors</t>
  </si>
  <si>
    <t>Licences and permits</t>
  </si>
  <si>
    <t>Gains on disposal of PPE</t>
  </si>
  <si>
    <t>Employee related costs</t>
  </si>
  <si>
    <t>Remuneration of Councillors</t>
  </si>
  <si>
    <t>Interest paid</t>
  </si>
  <si>
    <t>Bulk purchases</t>
  </si>
  <si>
    <t>Contracted services</t>
  </si>
  <si>
    <t>General expenses</t>
  </si>
  <si>
    <t>Budgeted Financial Performance</t>
  </si>
  <si>
    <t>Forecast Financial Performance</t>
  </si>
  <si>
    <t>SFPerf1</t>
  </si>
  <si>
    <t>SFPerf2</t>
  </si>
  <si>
    <t>SFPos1</t>
  </si>
  <si>
    <t>SFPos2</t>
  </si>
  <si>
    <t>Budgeted Financial Position</t>
  </si>
  <si>
    <t>2. Expenditure for each type, vote and standard classification</t>
  </si>
  <si>
    <t>3. Capital expenditure for each vote and standard classification</t>
  </si>
  <si>
    <t>4. Explain any material variances between the annual budget and the expected financial position based on current trends</t>
  </si>
  <si>
    <t>5. Cash receipts by source and cash payments by type where not explained under revenue and expenditure</t>
  </si>
  <si>
    <t>Date/type of report</t>
  </si>
  <si>
    <t>Mid-Year Assessment</t>
  </si>
  <si>
    <t>M01 July</t>
  </si>
  <si>
    <t>M02 August</t>
  </si>
  <si>
    <t>Q1 First Quarter</t>
  </si>
  <si>
    <t>Q2 Second Quarter</t>
  </si>
  <si>
    <t>Date linked</t>
  </si>
  <si>
    <t>Date</t>
  </si>
  <si>
    <t>M03 September</t>
  </si>
  <si>
    <t>M04 October</t>
  </si>
  <si>
    <t>M05 November</t>
  </si>
  <si>
    <t>M06 December</t>
  </si>
  <si>
    <t>M07 January</t>
  </si>
  <si>
    <t>M08 February</t>
  </si>
  <si>
    <t>M09 March</t>
  </si>
  <si>
    <t>M10 April</t>
  </si>
  <si>
    <t>M11 May</t>
  </si>
  <si>
    <t>M12 June</t>
  </si>
  <si>
    <t>Q3 Third Quarter</t>
  </si>
  <si>
    <t>Q4 Fourth Quarter</t>
  </si>
  <si>
    <t>Capital expenditure on new assets by Asset Class/Sub-class</t>
  </si>
  <si>
    <t>Total Capital Expenditure on new assets</t>
  </si>
  <si>
    <t xml:space="preserve">Total Capital Expenditure on renewal of existing assets </t>
  </si>
  <si>
    <t>Capital expenditure on renewal of existing assets by Asset Class/Sub-class</t>
  </si>
  <si>
    <t>Repairs and maintenance expenditure by Asset Class/Sub-class</t>
  </si>
  <si>
    <t>Total Repairs and Maintenance Expenditure</t>
  </si>
  <si>
    <t>Unpaid salary, allowances &amp; benefits in arrears:</t>
  </si>
  <si>
    <t>Interest</t>
  </si>
  <si>
    <t>Month</t>
  </si>
  <si>
    <t>Decrease (increase) other non-current receivables</t>
  </si>
  <si>
    <t>Decrease (increase) in non-current investments</t>
  </si>
  <si>
    <t>NET CASH FROM/(USED) OPERATING ACTIVITIES</t>
  </si>
  <si>
    <t>NET CASH FROM/(USED) INVESTING ACTIVITIES</t>
  </si>
  <si>
    <t>NET CASH FROM/(USED) FINANCING ACTIVITIES</t>
  </si>
  <si>
    <t>Change in market value</t>
  </si>
  <si>
    <t>Market value at end of the month</t>
  </si>
  <si>
    <t>1. Yield is calculated as the annualised equivalent</t>
  </si>
  <si>
    <t>Total Capital Funding</t>
  </si>
  <si>
    <t>Surplus/ (Deficit) for the year</t>
  </si>
  <si>
    <t>Investments by maturity
Name of institution &amp; investment ID</t>
  </si>
  <si>
    <t>2. Material variances to be explained.</t>
  </si>
  <si>
    <t>Receipts</t>
  </si>
  <si>
    <t>Payments</t>
  </si>
  <si>
    <t>2. Net assets must balance with Total Community Wealth/Equity</t>
  </si>
  <si>
    <t>Repayment of borrowing</t>
  </si>
  <si>
    <t>Short term loans</t>
  </si>
  <si>
    <t>NET INCREASE/ (DECREASE) IN CASH HELD</t>
  </si>
  <si>
    <t>Reserves</t>
  </si>
  <si>
    <t>Head1</t>
  </si>
  <si>
    <t>Contributions &amp; Contributed assets</t>
  </si>
  <si>
    <t>Total Operating Expenditure</t>
  </si>
  <si>
    <t>August</t>
  </si>
  <si>
    <t>October</t>
  </si>
  <si>
    <t>November</t>
  </si>
  <si>
    <t>December</t>
  </si>
  <si>
    <t>January</t>
  </si>
  <si>
    <t>February</t>
  </si>
  <si>
    <t>March</t>
  </si>
  <si>
    <t>April</t>
  </si>
  <si>
    <t>May</t>
  </si>
  <si>
    <t>June</t>
  </si>
  <si>
    <t>Bulk purchases - Electricity</t>
  </si>
  <si>
    <t>Total Cash Receipts by Source</t>
  </si>
  <si>
    <t>Total Cash Payments by Type</t>
  </si>
  <si>
    <t>Bulk purchases - Water &amp; Sewer</t>
  </si>
  <si>
    <t>Total By Customer Type</t>
  </si>
  <si>
    <t>Other materials</t>
  </si>
  <si>
    <t>Dividends received</t>
  </si>
  <si>
    <t>Proceeds on disposal of PPE</t>
  </si>
  <si>
    <t>2. Grant expenditure must be separately listed for each grant received</t>
  </si>
  <si>
    <t>Grants and subsidies paid - other municipalities</t>
  </si>
  <si>
    <t>Grants and subsidies paid - other</t>
  </si>
  <si>
    <t>Head46</t>
  </si>
  <si>
    <t>Capital expenditure &amp; funds sources</t>
  </si>
  <si>
    <t>Debtors &amp; creditors analysis</t>
  </si>
  <si>
    <t>S71M</t>
  </si>
  <si>
    <t>S71N</t>
  </si>
  <si>
    <t>Property rates</t>
  </si>
  <si>
    <t>Cash Receipts By Source</t>
  </si>
  <si>
    <t>Cash Receipts by Source</t>
  </si>
  <si>
    <t>Cash Payments by Type</t>
  </si>
  <si>
    <t>Head2</t>
  </si>
  <si>
    <t>Head3</t>
  </si>
  <si>
    <t>Head5</t>
  </si>
  <si>
    <t>Head6</t>
  </si>
  <si>
    <t>Head7</t>
  </si>
  <si>
    <t>Head8</t>
  </si>
  <si>
    <t>Head9</t>
  </si>
  <si>
    <t>Head10</t>
  </si>
  <si>
    <t>Forecast 2021/22</t>
  </si>
  <si>
    <t>Head11</t>
  </si>
  <si>
    <t>Head12</t>
  </si>
  <si>
    <t>Head13</t>
  </si>
  <si>
    <t>Head14</t>
  </si>
  <si>
    <t>Head15</t>
  </si>
  <si>
    <t>Head16</t>
  </si>
  <si>
    <t>Head17</t>
  </si>
  <si>
    <t>Head18</t>
  </si>
  <si>
    <t>Head19</t>
  </si>
  <si>
    <t>Head20</t>
  </si>
  <si>
    <t>Head21</t>
  </si>
  <si>
    <t>Head22</t>
  </si>
  <si>
    <t>Head23</t>
  </si>
  <si>
    <t>1,2</t>
  </si>
  <si>
    <t>Borrowing long term/refinancing</t>
  </si>
  <si>
    <t>Transfers recognised - capital</t>
  </si>
  <si>
    <t>Loans, Accounts Payable, Overdraft &amp; Tax Provision/ Funds &amp; Reserves</t>
  </si>
  <si>
    <t>Prior Adjusted</t>
  </si>
  <si>
    <t>Service charges</t>
  </si>
  <si>
    <t>Rental of facilities and equipment</t>
  </si>
  <si>
    <t>Head5B</t>
  </si>
  <si>
    <t>Pre-audit outcome</t>
  </si>
  <si>
    <t>Head58</t>
  </si>
  <si>
    <t>Parent muni.</t>
  </si>
  <si>
    <t>Head59</t>
  </si>
  <si>
    <t>1. Must reconcile to the sum of all municipal entity monthly revenue reports</t>
  </si>
  <si>
    <t>2. Must reconcile to the sum of all municipal entity monthly expenditure reports</t>
  </si>
  <si>
    <t>1. Each grant is listed by name as gazetted together with the name of the transferring department or municipality, donor or other organisation</t>
  </si>
  <si>
    <t>TOTAL SALARY, ALLOWANCES &amp; BENEFITS</t>
  </si>
  <si>
    <t>RECEIPTS:</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</si>
  <si>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</si>
  <si>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</si>
  <si>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</si>
  <si>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</si>
  <si>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</si>
  <si>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</si>
  <si>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</si>
  <si>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</si>
  <si>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</si>
  <si>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</si>
  <si>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</si>
  <si>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</si>
  <si>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</si>
  <si>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</si>
  <si>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</si>
  <si>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</si>
  <si>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</si>
  <si>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</si>
  <si>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</si>
  <si>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</si>
  <si>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</si>
  <si>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</si>
  <si>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</si>
  <si>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</si>
  <si>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</si>
  <si>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</si>
  <si>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</si>
  <si>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</si>
  <si>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</si>
  <si>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</si>
  <si>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</si>
  <si>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</si>
  <si>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</si>
  <si>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</si>
  <si>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Public Transport and Systems</t>
  </si>
  <si>
    <t>[Name of sub-vote]</t>
  </si>
  <si>
    <t>15.10</t>
  </si>
  <si>
    <t>15.1 - [Name of sub-vote]</t>
  </si>
  <si>
    <t>[NAME OF VOTE 15]</t>
  </si>
  <si>
    <t>14.10</t>
  </si>
  <si>
    <t>14.1 - [Name of sub-vote]</t>
  </si>
  <si>
    <t>[NAME OF VOTE 14]</t>
  </si>
  <si>
    <t>13.10</t>
  </si>
  <si>
    <t>13.1 - [Name of sub-vote]</t>
  </si>
  <si>
    <t>[NAME OF VOTE 13]</t>
  </si>
  <si>
    <t>12.10</t>
  </si>
  <si>
    <t>12.1 - [Name of sub-vote]</t>
  </si>
  <si>
    <t>[NAME OF VOTE 12]</t>
  </si>
  <si>
    <t>11.10</t>
  </si>
  <si>
    <t>11.1 - [Name of sub-vote]</t>
  </si>
  <si>
    <t>[NAME OF VOTE 11]</t>
  </si>
  <si>
    <t>10.10</t>
  </si>
  <si>
    <t>10.1 - [Name of sub-vote]</t>
  </si>
  <si>
    <t>[NAME OF VOTE 10]</t>
  </si>
  <si>
    <t>9.10</t>
  </si>
  <si>
    <t>9.1 - [Name of sub-vote]</t>
  </si>
  <si>
    <t>[NAME OF VOTE 9]</t>
  </si>
  <si>
    <t>8.10</t>
  </si>
  <si>
    <t>8.1 - [Name of sub-vote]</t>
  </si>
  <si>
    <t>[NAME OF VOTE 8]</t>
  </si>
  <si>
    <t>7.10</t>
  </si>
  <si>
    <t>7.1 - [Name of sub-vote]</t>
  </si>
  <si>
    <t>[NAME OF VOTE 7]</t>
  </si>
  <si>
    <t>6.10</t>
  </si>
  <si>
    <t>5.10</t>
  </si>
  <si>
    <t>4.10</t>
  </si>
  <si>
    <t>3.10</t>
  </si>
  <si>
    <t>2.10</t>
  </si>
  <si>
    <t>1.10</t>
  </si>
  <si>
    <t>Display Sub-Votes</t>
  </si>
  <si>
    <t>Organisational Structure Sub-Votes</t>
  </si>
  <si>
    <t>Organisational Structure Votes</t>
  </si>
  <si>
    <t>S71Sd</t>
  </si>
  <si>
    <t xml:space="preserve">Supporting Table SC13d </t>
  </si>
  <si>
    <t>Pension and UIF Contributions</t>
  </si>
  <si>
    <t>Motor Vehicle Allowance</t>
  </si>
  <si>
    <t>Cellphone Allowance</t>
  </si>
  <si>
    <t>Housing Allowances</t>
  </si>
  <si>
    <t>Other benefits and allowances</t>
  </si>
  <si>
    <t>Payments in lieu of leave</t>
  </si>
  <si>
    <t>Long service awards</t>
  </si>
  <si>
    <t>Post-retirement benefit obligations</t>
  </si>
  <si>
    <t>Borrowed funding of 'own' capital expenditure</t>
  </si>
  <si>
    <t>Current Ratio</t>
  </si>
  <si>
    <t>Longstanding Debtors Recovered</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</si>
  <si>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</si>
  <si>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</si>
  <si>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</si>
  <si>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</si>
  <si>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</si>
  <si>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</si>
  <si>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</si>
  <si>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</si>
  <si>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</si>
  <si>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</si>
  <si>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</si>
  <si>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EKU Ekurhuleni Metro</t>
  </si>
  <si>
    <t>JHB City Of Johannesburg</t>
  </si>
  <si>
    <t>TSH City Of Tshwane</t>
  </si>
  <si>
    <t>ETH eThekwini</t>
  </si>
  <si>
    <t>CPT Cape Town</t>
  </si>
  <si>
    <t>Depreciation by Asset Class/Sub-class</t>
  </si>
  <si>
    <t>Total Depreciation</t>
  </si>
  <si>
    <t>Debtors Age Analysis By Income Source</t>
  </si>
  <si>
    <t>Trade and Other Receivables from Exchange Transactions - Water</t>
  </si>
  <si>
    <t>Receivables from Non-exchange Transactions - Property Rates</t>
  </si>
  <si>
    <t>Trade and Other Receivables from Exchange Transactions - Electricity</t>
  </si>
  <si>
    <t>Receivables from Exchange Transactions - Waste Water Management</t>
  </si>
  <si>
    <t>Receivables from Exchange Transactions - Waste Management</t>
  </si>
  <si>
    <t>Receivables from Exchange Transactions - Property Rental Debtors</t>
  </si>
  <si>
    <t>Interest on Arrear Debtor Accounts</t>
  </si>
  <si>
    <t>Recoverable unauthorised, irregular, fruitless and wasteful expenditure</t>
  </si>
  <si>
    <t>Total By Income Source</t>
  </si>
  <si>
    <t>Organs of State</t>
  </si>
  <si>
    <t>Commercial</t>
  </si>
  <si>
    <t>Impairment - Bad Debts i.t.o Council Policy</t>
  </si>
  <si>
    <t>Debtors Age Analysis By Customer Group</t>
  </si>
  <si>
    <t>Total By Customer Group</t>
  </si>
  <si>
    <t>Total by Income Source must reconcile with Total by Customer Group</t>
  </si>
  <si>
    <t>S71T</t>
  </si>
  <si>
    <t>Supporting Table SC7(1)</t>
  </si>
  <si>
    <t>Supporting Table SC7(2)</t>
  </si>
  <si>
    <t>Operating expenditure of Approved Roll-overs</t>
  </si>
  <si>
    <t>Total operating expenditure of Approved Roll-overs</t>
  </si>
  <si>
    <t>Capital expenditure of Approved Roll-overs</t>
  </si>
  <si>
    <t>Total capital expenditure of Approved Roll-overs</t>
  </si>
  <si>
    <t>TOTAL EXPENDITURE OF APPROVED ROLL-OVERS</t>
  </si>
  <si>
    <t>Total 
over 90 days</t>
  </si>
  <si>
    <t>Actual Bad Debts Written Off against Debtors</t>
  </si>
  <si>
    <t>DC10 Sarah Baartman</t>
  </si>
  <si>
    <t>GT485 GT485</t>
  </si>
  <si>
    <t>DC43 Harry Gwala</t>
  </si>
  <si>
    <t>LIM345 LIM345</t>
  </si>
  <si>
    <t>LIM368 LIM368</t>
  </si>
  <si>
    <t>LIM476 LIM476</t>
  </si>
  <si>
    <t>DC8 Z F Mgcawu</t>
  </si>
  <si>
    <t>NW397 Kagisano-Molopo</t>
  </si>
  <si>
    <t>NW405 NW405</t>
  </si>
  <si>
    <t>Eastern Cape</t>
  </si>
  <si>
    <t>Free State</t>
  </si>
  <si>
    <t>Gauteng</t>
  </si>
  <si>
    <t>Kwazulu-Natal</t>
  </si>
  <si>
    <t>Limpopo</t>
  </si>
  <si>
    <t>Mpumalanga</t>
  </si>
  <si>
    <t>Northern Cape</t>
  </si>
  <si>
    <t>North West</t>
  </si>
  <si>
    <t>Western Cape</t>
  </si>
  <si>
    <t>EC101 Dr. Beyers Naude</t>
  </si>
  <si>
    <t>EC129 Raymond Mhlaba</t>
  </si>
  <si>
    <t>EC139 Enoch Mgijima</t>
  </si>
  <si>
    <t>EC145 Walter Sisulu</t>
  </si>
  <si>
    <t>KZN237 Inkosi Langalibalele</t>
  </si>
  <si>
    <t>KZN238 Alfred Duma</t>
  </si>
  <si>
    <t>KZN276 The New Big 5 False Bay</t>
  </si>
  <si>
    <t>DC28 King Cetshwayo</t>
  </si>
  <si>
    <t>KZN436 Dr Nkosazana Dlamini Zuma</t>
  </si>
  <si>
    <t>MP326 City of Mbombela</t>
  </si>
  <si>
    <t>NC087 Dawid Kuiper</t>
  </si>
  <si>
    <t>KZN216 Ray Nkonyeni</t>
  </si>
  <si>
    <t>ID Number</t>
  </si>
  <si>
    <t>Title</t>
  </si>
  <si>
    <t>Fines, penalties and forfeits</t>
  </si>
  <si>
    <t>Transfers and subsidies</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</si>
  <si>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</si>
  <si>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</si>
  <si>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</si>
  <si>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Municipal Manager, Town Secretary and Chief Executive</t>
  </si>
  <si>
    <t>Finance and administration</t>
  </si>
  <si>
    <t>Administrative and Corporate Support</t>
  </si>
  <si>
    <t>Asset Management</t>
  </si>
  <si>
    <t>Budget and Treasury Office</t>
  </si>
  <si>
    <t>Finance</t>
  </si>
  <si>
    <t>Fleet Management</t>
  </si>
  <si>
    <t>Legal Services</t>
  </si>
  <si>
    <t>Marketing, Customer Relations, Publicity and Media Co-ordination</t>
  </si>
  <si>
    <t>Risk Management</t>
  </si>
  <si>
    <t>Security Services</t>
  </si>
  <si>
    <t xml:space="preserve">Supply Chain Management </t>
  </si>
  <si>
    <t>Valuation Service</t>
  </si>
  <si>
    <t>Internal audit</t>
  </si>
  <si>
    <t>Governance Function</t>
  </si>
  <si>
    <t>Revenue - Functional</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</si>
  <si>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</si>
  <si>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</si>
  <si>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</si>
  <si>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</si>
  <si>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</si>
  <si>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</si>
  <si>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</si>
  <si>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</si>
  <si>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</si>
  <si>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</si>
  <si>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</si>
  <si>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</si>
  <si>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</si>
  <si>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</si>
  <si>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</si>
  <si>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</si>
  <si>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</si>
  <si>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</si>
  <si>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</si>
  <si>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</si>
  <si>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</si>
  <si>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</si>
  <si>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</si>
  <si>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</si>
  <si>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</si>
  <si>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</si>
  <si>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</si>
  <si>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</si>
  <si>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</si>
  <si>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</si>
  <si>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</si>
  <si>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</si>
  <si>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</si>
  <si>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</si>
  <si>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</si>
  <si>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</si>
  <si>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</si>
  <si>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</si>
  <si>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</si>
  <si>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</si>
  <si>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</si>
  <si>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</si>
  <si>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</si>
  <si>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</si>
  <si>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</si>
  <si>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</si>
  <si>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</si>
  <si>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</si>
  <si>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</si>
  <si>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</si>
  <si>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</si>
  <si>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</si>
  <si>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</si>
  <si>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</si>
  <si>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Energy sources</t>
  </si>
  <si>
    <t xml:space="preserve">Electricity </t>
  </si>
  <si>
    <t>Street Lighting and Signal Systems</t>
  </si>
  <si>
    <t>Nonelectric Energy</t>
  </si>
  <si>
    <t>Water management</t>
  </si>
  <si>
    <t>Water Treatment</t>
  </si>
  <si>
    <t>Waste Water Treatment</t>
  </si>
  <si>
    <t>Recycling</t>
  </si>
  <si>
    <t>Solid Waste Disposal (Landfill Sites)</t>
  </si>
  <si>
    <t>Solid Waste Removal</t>
  </si>
  <si>
    <t>Street Cleaning</t>
  </si>
  <si>
    <t xml:space="preserve">Forestry </t>
  </si>
  <si>
    <t>Licensing and Regulation</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</si>
  <si>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</si>
  <si>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</si>
  <si>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</si>
  <si>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function 'Other' is only for Abbatoirs, Air Transport, Licensing and Regulation, Markets and Tourism - and if used must be supported by footnotes. Nothing else may be placed under 'Other'. Assign associate share to relevant classification</t>
  </si>
  <si>
    <t>Total Revenue - Functional</t>
  </si>
  <si>
    <t>Total Expenditure - Functional</t>
  </si>
  <si>
    <t>2. Total Revenue by functional classification must reconcile to Total Operating Revenue shown in the Financial Performance Statement</t>
  </si>
  <si>
    <t>3. Total Expenditure by functional classification must reconcile to total operating expenditure shown in 'Financial Performance Statement'</t>
  </si>
  <si>
    <t>4. All amounts must be classified under a functional classification (modified GFS). The GFS function 'Other' is only for Abbatoirs, Air Transport, Licensing and Regulation, Markets and Tourism - and if used must be supported by footnotes. Nothing else may be placed under 'Other'. Assign associate share to relevant classification</t>
  </si>
  <si>
    <t>Total Capital Expenditure - Functional Classification</t>
  </si>
  <si>
    <t>Capital Expenditure - Functional Classification</t>
  </si>
  <si>
    <t>3. Capital expenditure by functional classification must reconcile to the total of multi-year and single year appropriations</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</si>
  <si>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</si>
  <si>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</si>
  <si>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</si>
  <si>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</si>
  <si>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</si>
  <si>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</si>
  <si>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</si>
  <si>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</si>
  <si>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</si>
  <si>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</si>
  <si>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</si>
  <si>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</si>
  <si>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</si>
  <si>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</si>
  <si>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</si>
  <si>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</si>
  <si>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</si>
  <si>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</si>
  <si>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</si>
  <si>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</si>
  <si>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</si>
  <si>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</si>
  <si>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</si>
  <si>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</si>
  <si>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</si>
  <si>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</si>
  <si>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</si>
  <si>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</si>
  <si>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</si>
  <si>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</si>
  <si>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</si>
  <si>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</si>
  <si>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</si>
  <si>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</si>
  <si>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</si>
  <si>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</si>
  <si>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</si>
  <si>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</si>
  <si>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</si>
  <si>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</si>
  <si>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</si>
  <si>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</si>
  <si>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</si>
  <si>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</si>
  <si>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</si>
  <si>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</si>
  <si>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</si>
  <si>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</si>
  <si>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</si>
  <si>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</si>
  <si>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</si>
  <si>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</si>
  <si>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Facilities</t>
  </si>
  <si>
    <t>Halls</t>
  </si>
  <si>
    <t>Centres</t>
  </si>
  <si>
    <t>Crèches</t>
  </si>
  <si>
    <t>Clinics/Care Centres</t>
  </si>
  <si>
    <t>Fire/Ambulance Stations</t>
  </si>
  <si>
    <t>Testing Stations</t>
  </si>
  <si>
    <t>Museums</t>
  </si>
  <si>
    <t>Galleries</t>
  </si>
  <si>
    <t>Cemeteries/Crematoria</t>
  </si>
  <si>
    <t>Purls</t>
  </si>
  <si>
    <t>Public Open Space</t>
  </si>
  <si>
    <t>Nature Reserves</t>
  </si>
  <si>
    <t>Public Ablution Facilities</t>
  </si>
  <si>
    <t>Stalls</t>
  </si>
  <si>
    <t>Airports</t>
  </si>
  <si>
    <t>Taxi Ranks/Bus Terminals</t>
  </si>
  <si>
    <t>Sport and Recreation Facilities</t>
  </si>
  <si>
    <t>Indoor Facilities</t>
  </si>
  <si>
    <t>Outdoor Facilities</t>
  </si>
  <si>
    <t>Community Assets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</si>
  <si>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</si>
  <si>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</si>
  <si>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</si>
  <si>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</si>
  <si>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</si>
  <si>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</si>
  <si>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</si>
  <si>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</si>
  <si>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</si>
  <si>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</si>
  <si>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</si>
  <si>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</si>
  <si>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</si>
  <si>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</si>
  <si>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</si>
  <si>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</si>
  <si>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</si>
  <si>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</si>
  <si>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</si>
  <si>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</si>
  <si>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</si>
  <si>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</si>
  <si>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</si>
  <si>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</si>
  <si>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</si>
  <si>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</si>
  <si>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</si>
  <si>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</si>
  <si>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</si>
  <si>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</si>
  <si>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</si>
  <si>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</si>
  <si>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</si>
  <si>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</si>
  <si>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</si>
  <si>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</si>
  <si>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</si>
  <si>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t>
  </si>
  <si>
    <t>Capital expenditure on upgrading of existing assets by Asset Class/Sub-class</t>
  </si>
  <si>
    <t xml:space="preserve">Total Capital Expenditure on upgrading of existing assets </t>
  </si>
  <si>
    <t>S71Se</t>
  </si>
  <si>
    <t xml:space="preserve">Supporting Table SC13e </t>
  </si>
  <si>
    <t>Biological</t>
  </si>
  <si>
    <t>Intangible</t>
  </si>
  <si>
    <t>Land</t>
  </si>
  <si>
    <t>Council General</t>
  </si>
  <si>
    <t>Admin</t>
  </si>
  <si>
    <t>Mayoral Office</t>
  </si>
  <si>
    <t>Municipal Manager</t>
  </si>
  <si>
    <t>Office Support</t>
  </si>
  <si>
    <t>Internal Audit</t>
  </si>
  <si>
    <t>Project Management</t>
  </si>
  <si>
    <t>Ombudsman</t>
  </si>
  <si>
    <t>Enterprise Risk Management</t>
  </si>
  <si>
    <t>Jobs4U</t>
  </si>
  <si>
    <t>Strategic Support Services</t>
  </si>
  <si>
    <t>Administration &amp; Support Services</t>
  </si>
  <si>
    <t>Information Communication Technology</t>
  </si>
  <si>
    <t>IDP/ PMS/ SDBIP</t>
  </si>
  <si>
    <t>Communications &amp; Media Relations</t>
  </si>
  <si>
    <t>Local Economic Development</t>
  </si>
  <si>
    <t>Financial Services</t>
  </si>
  <si>
    <t>Administration</t>
  </si>
  <si>
    <t>Revenue</t>
  </si>
  <si>
    <t>Financial Planning</t>
  </si>
  <si>
    <t>Supply Chain Management</t>
  </si>
  <si>
    <t>Community Services</t>
  </si>
  <si>
    <t>Human Settlements &amp; Housing</t>
  </si>
  <si>
    <t>Fire Brigade &amp; Disaster Risk Management</t>
  </si>
  <si>
    <t>Traffic Services</t>
  </si>
  <si>
    <t>Municipal Halls and Resorts</t>
  </si>
  <si>
    <t>Customer Care Services</t>
  </si>
  <si>
    <t>Sports and Recreation</t>
  </si>
  <si>
    <t>Technical Services</t>
  </si>
  <si>
    <t>Public Works</t>
  </si>
  <si>
    <t>Cemetaries</t>
  </si>
  <si>
    <t>Refuse Removal</t>
  </si>
  <si>
    <t>Sewerages</t>
  </si>
  <si>
    <t>Electricity Management</t>
  </si>
  <si>
    <t>Water Management</t>
  </si>
  <si>
    <t>1.1 - Admin</t>
  </si>
  <si>
    <t>1.2 - Mayoral Office</t>
  </si>
  <si>
    <t>2.1 - Office Support</t>
  </si>
  <si>
    <t>2.2 - Internal Audit</t>
  </si>
  <si>
    <t>2.3 - Project Management</t>
  </si>
  <si>
    <t>2.4 - Ombudsman</t>
  </si>
  <si>
    <t>2.5 - Enterprise Risk Management</t>
  </si>
  <si>
    <t>2.6 - Jobs4U</t>
  </si>
  <si>
    <t>3.1 - Administration &amp; Support Services</t>
  </si>
  <si>
    <t>3.2 - Human Resources</t>
  </si>
  <si>
    <t>3.3 - Information Communication Technology</t>
  </si>
  <si>
    <t>3.4 - IDP/ PMS/ SDBIP</t>
  </si>
  <si>
    <t>3.5 - Communications &amp; Media Relations</t>
  </si>
  <si>
    <t>3.6 - Local Economic Development</t>
  </si>
  <si>
    <t>3.7 - Legal Services</t>
  </si>
  <si>
    <t>4.1 - Administration</t>
  </si>
  <si>
    <t>4.2 - Revenue</t>
  </si>
  <si>
    <t>4.3 - Financial Planning</t>
  </si>
  <si>
    <t>4.4 - Supply Chain Management</t>
  </si>
  <si>
    <t>5.1 - Administration &amp; Support Services</t>
  </si>
  <si>
    <t>5.2 - Human Settlements &amp; Housing</t>
  </si>
  <si>
    <t>5.3 - Libraries</t>
  </si>
  <si>
    <t>5.4 - Fire Brigade &amp; Disaster Risk Management</t>
  </si>
  <si>
    <t>5.5 - Traffic Services</t>
  </si>
  <si>
    <t>5.6 - Municipal Halls and Resorts</t>
  </si>
  <si>
    <t>5.7 - Customer Care Services</t>
  </si>
  <si>
    <t>5.8 - Sports and Recreation</t>
  </si>
  <si>
    <t>5.9 - Health</t>
  </si>
  <si>
    <t>6.1 - Public Works</t>
  </si>
  <si>
    <t>6.2 - Cemetaries</t>
  </si>
  <si>
    <t>6.3 - Recreational Facilities</t>
  </si>
  <si>
    <t>6.4 - Refuse Removal</t>
  </si>
  <si>
    <t>6.5 - Sewerages</t>
  </si>
  <si>
    <t>6.6 - Electricity Management</t>
  </si>
  <si>
    <t>6.7 - Water Management</t>
  </si>
  <si>
    <t>www.bvm.gov.za</t>
  </si>
  <si>
    <t>bvm.gov.za</t>
  </si>
  <si>
    <t>Private Bag X3046</t>
  </si>
  <si>
    <t>Worcester</t>
  </si>
  <si>
    <t>Civic Building</t>
  </si>
  <si>
    <t>Corner of Baring- and High Street</t>
  </si>
  <si>
    <t>023 348 2600</t>
  </si>
  <si>
    <t>023 348 3852</t>
  </si>
  <si>
    <t>560802 5092 086</t>
  </si>
  <si>
    <t>Mr</t>
  </si>
  <si>
    <t>N Mercuur</t>
  </si>
  <si>
    <t>023 348 2845</t>
  </si>
  <si>
    <t>071 535 5986</t>
  </si>
  <si>
    <t>023 348 2777</t>
  </si>
  <si>
    <t>nmercuur@bvm.gov.za</t>
  </si>
  <si>
    <t>810409 0135 080</t>
  </si>
  <si>
    <t>Mrs</t>
  </si>
  <si>
    <t>J Schneider</t>
  </si>
  <si>
    <t>023 348 2846</t>
  </si>
  <si>
    <t>071 589 1895</t>
  </si>
  <si>
    <t>jschneider@bvm.gov.za</t>
  </si>
  <si>
    <t>740227 0148 081</t>
  </si>
  <si>
    <t>A Steyn</t>
  </si>
  <si>
    <t>023 348 2841</t>
  </si>
  <si>
    <t>072 404 6248</t>
  </si>
  <si>
    <t>asteyn@bvm.gov.za</t>
  </si>
  <si>
    <t>510523 5040 088</t>
  </si>
  <si>
    <t>JD Levendal</t>
  </si>
  <si>
    <t>023 348 2843</t>
  </si>
  <si>
    <t>072 180 7812</t>
  </si>
  <si>
    <t>jlevendal@bvm.gov.za</t>
  </si>
  <si>
    <t>700103 0259 080</t>
  </si>
  <si>
    <t>Ms</t>
  </si>
  <si>
    <t>S Lakey</t>
  </si>
  <si>
    <t>023 348 2844</t>
  </si>
  <si>
    <t>064 273 4889</t>
  </si>
  <si>
    <t>slakey@bvm.gov.za</t>
  </si>
  <si>
    <t>630629 5170 083</t>
  </si>
  <si>
    <t>David McThomas</t>
  </si>
  <si>
    <t>023 348 2800</t>
  </si>
  <si>
    <t>083 778 9480</t>
  </si>
  <si>
    <t>dmcthomas@bvm.gov.za</t>
  </si>
  <si>
    <t>681220 0533 083</t>
  </si>
  <si>
    <t>M Mdabuli</t>
  </si>
  <si>
    <t>023 348 2602</t>
  </si>
  <si>
    <t>084 448 2850</t>
  </si>
  <si>
    <t>mmdabuli@bvm.gov.za</t>
  </si>
  <si>
    <t>691218 5287 083</t>
  </si>
  <si>
    <t>Roddrick Ontong</t>
  </si>
  <si>
    <t>023 348 4995</t>
  </si>
  <si>
    <t>084 678 8816</t>
  </si>
  <si>
    <t>023 348 4997</t>
  </si>
  <si>
    <t>rontong@bvm.gov.za</t>
  </si>
  <si>
    <t>750605 0029 080</t>
  </si>
  <si>
    <t>H Kamfer</t>
  </si>
  <si>
    <t>023 348 4994</t>
  </si>
  <si>
    <t>082 694 8146</t>
  </si>
  <si>
    <t>hkamfer@bvm.gov.za</t>
  </si>
  <si>
    <t>711012 0059 084</t>
  </si>
  <si>
    <t>B Volschenk</t>
  </si>
  <si>
    <t>023 348 4992</t>
  </si>
  <si>
    <t>082 787 5841</t>
  </si>
  <si>
    <t>bvolschenk@bvm.gov.za</t>
  </si>
  <si>
    <t>860325 5078 084</t>
  </si>
  <si>
    <t>A Crotz</t>
  </si>
  <si>
    <t>023 348 4996</t>
  </si>
  <si>
    <t>076 189 0341</t>
  </si>
  <si>
    <t>acrotz@bvm.gov.za</t>
  </si>
  <si>
    <t>870104 0074 085</t>
  </si>
  <si>
    <t>H Hansen</t>
  </si>
  <si>
    <t>023 348 4968</t>
  </si>
  <si>
    <t>072 368 6677</t>
  </si>
  <si>
    <t>hhansen@bvm.gov.za</t>
  </si>
  <si>
    <t>910123 0259 084</t>
  </si>
  <si>
    <t>S Koopman</t>
  </si>
  <si>
    <t>023 348 2842</t>
  </si>
  <si>
    <t>082 296 8796</t>
  </si>
  <si>
    <t>skoopman@bvm.gov.za</t>
  </si>
  <si>
    <t>Transfers and subsidies - operating</t>
  </si>
  <si>
    <t>Nedbank</t>
  </si>
  <si>
    <t>6 Months</t>
  </si>
  <si>
    <t>Notice Deposit</t>
  </si>
  <si>
    <t>26 Jul 2018</t>
  </si>
  <si>
    <t>First National Bank</t>
  </si>
  <si>
    <t>Investec Bank</t>
  </si>
  <si>
    <t>7 Months</t>
  </si>
  <si>
    <t>28 Aug 2018</t>
  </si>
  <si>
    <t>3 Months</t>
  </si>
  <si>
    <t>24 Jul 2018</t>
  </si>
  <si>
    <t>25 Jul 2018</t>
  </si>
  <si>
    <t>ABSA Bank</t>
  </si>
  <si>
    <t>4 Months</t>
  </si>
  <si>
    <t>24 Aug 2018</t>
  </si>
  <si>
    <t>Standard Bank</t>
  </si>
  <si>
    <t>5 Months</t>
  </si>
  <si>
    <t>25 Sep 2018</t>
  </si>
  <si>
    <t>1 Month</t>
  </si>
  <si>
    <t>27 Aug 2018</t>
  </si>
  <si>
    <t>2 Months</t>
  </si>
  <si>
    <t>26 Sep 2018</t>
  </si>
  <si>
    <t>25 Oct 2018</t>
  </si>
  <si>
    <t>26 Oct 2018</t>
  </si>
  <si>
    <t>26 Nov 2018</t>
  </si>
  <si>
    <t>Local Government Financial Management Grant</t>
  </si>
  <si>
    <t>Municipal Systems Improvement grant</t>
  </si>
  <si>
    <t>Expanded Public Works Programme Integrated grant</t>
  </si>
  <si>
    <t xml:space="preserve">                – </t>
  </si>
  <si>
    <t>Human Settlement development Grant</t>
  </si>
  <si>
    <t>Fin. Assistance to Mun for Maintenance and contruciton of transport infrastructure</t>
  </si>
  <si>
    <t>Library Services: Conditional grant</t>
  </si>
  <si>
    <t>Community Development workers (CDW)</t>
  </si>
  <si>
    <t>Regional Socio-Economic Project</t>
  </si>
  <si>
    <t>Thusong service centres grant</t>
  </si>
  <si>
    <t>Financial Management Capacity Building Grant</t>
  </si>
  <si>
    <t>Development of Sport and recreation</t>
  </si>
  <si>
    <t>Financial Management Support grant</t>
  </si>
  <si>
    <t>Fire equipment maintenance</t>
  </si>
  <si>
    <t>Local Government Graduate Internship</t>
  </si>
  <si>
    <t>CWDM Projects</t>
  </si>
  <si>
    <t>Learnership SETA</t>
  </si>
  <si>
    <t>LGWSETA</t>
  </si>
  <si>
    <t>Work for water</t>
  </si>
  <si>
    <t>APL Kartonne - donation</t>
  </si>
  <si>
    <t>Municipal Infrastructure grant</t>
  </si>
  <si>
    <t>Integrated National Electification Program</t>
  </si>
  <si>
    <t>Fire Service Capacity Building Grant</t>
  </si>
  <si>
    <t>Prime mover Cache equipment</t>
  </si>
  <si>
    <t>None</t>
  </si>
  <si>
    <t>19 Oct 2018</t>
  </si>
  <si>
    <t>19 Nov 2018</t>
  </si>
  <si>
    <t>18 Jan 2019</t>
  </si>
  <si>
    <t>22 Jan 2019</t>
  </si>
  <si>
    <t>22 Feb 2019</t>
  </si>
  <si>
    <t>22 Mar 2019</t>
  </si>
  <si>
    <t>25 Mar 2019</t>
  </si>
  <si>
    <t>28 Feb 2019</t>
  </si>
  <si>
    <t>04 Mar 2019</t>
  </si>
  <si>
    <t>29 Mar 2019</t>
  </si>
  <si>
    <t>01 Apr 2019</t>
  </si>
  <si>
    <t>30 Apr 2019</t>
  </si>
  <si>
    <t>24 Apr 2019</t>
  </si>
  <si>
    <t>22 May 2019</t>
  </si>
  <si>
    <t>Financial Management support grant</t>
  </si>
  <si>
    <t>Less licenses and permits issued.</t>
  </si>
  <si>
    <t>More agency fees earned than it was anticipated.</t>
  </si>
  <si>
    <t>Recognised at year-end after the capitilisation of assets.</t>
  </si>
  <si>
    <t>Fair value adjustments on water stock, debtors and investment property will only be done after year-end.</t>
  </si>
  <si>
    <t>26 Apr 2019</t>
  </si>
  <si>
    <t>24 May 2019</t>
  </si>
  <si>
    <t>27 May 2019</t>
  </si>
  <si>
    <t>24 Jun 2019</t>
  </si>
  <si>
    <t>Gains from the disposal of assets are less than anticipated.</t>
  </si>
  <si>
    <t>Losses from the disposal of assets are less than anticipated.</t>
  </si>
  <si>
    <t>25 Jun 2019</t>
  </si>
  <si>
    <t>25 Jul 2019</t>
  </si>
  <si>
    <t>26 Aug 2019</t>
  </si>
  <si>
    <t>25 Sep 2019</t>
  </si>
  <si>
    <t>Other Revenue</t>
  </si>
  <si>
    <t xml:space="preserve">The portion of unallocated funds is included in this category - this the reason why the amount is shown more as budgeted for. </t>
  </si>
  <si>
    <t>Debtors paid additional amounts - system handle this as unallocated and with the billing of the next month’s invoices the surplus amounts been allocated to different services</t>
  </si>
  <si>
    <t>16.81%</t>
  </si>
  <si>
    <t xml:space="preserve">During the adjustment budget process, the interest earned on outstanding debtors was assessed for all services including property rates. The adjustment was then distributed evenly amongst the different services. </t>
  </si>
  <si>
    <t xml:space="preserve">The project Transhex been administrated by the housing department, reports been received as proof that payments were done from them. The spending report must still be received for the month of April and May 2019. We have received feedback on the 10th of June 2019 and will this the spending be included in the June 2019 report. </t>
  </si>
  <si>
    <t>Operating grant funds are received within different timeframes.</t>
  </si>
  <si>
    <t>Provision for interest will be calculated after the final depreciation of 2018/2019 was calculated.</t>
  </si>
  <si>
    <t>The final payments for electricity bulk purchases will only be paid after year-end.</t>
  </si>
  <si>
    <t>The final payments on repairs and maintenance and other contracted services will only be paid after year-end.</t>
  </si>
  <si>
    <t>The final payments on grant expenditure will only be paid after year-end.</t>
  </si>
  <si>
    <t>The final payments on various general expenditure items will only be paid after year-end.</t>
  </si>
  <si>
    <t>The final calculation of debt impairment for 2018/2019 will only be done after year-end.</t>
  </si>
  <si>
    <t>The final payments on capital assets will only be paid after year-end.</t>
  </si>
  <si>
    <t xml:space="preserve">Own funding was allocated for Capital budget project, the funding to be invest was lower. </t>
  </si>
  <si>
    <t xml:space="preserve">mSCOA - all housing grant payments must be through this item - but Transhex payments been done by the housing department directly to the service providers.  </t>
  </si>
  <si>
    <t xml:space="preserve">Suppliers and employees </t>
  </si>
  <si>
    <t xml:space="preserve">This totals are all preliminery - final invoices must still be reconciles and paid. It can have an impact on the % capital speding for the 2018 2019 financial year. </t>
  </si>
  <si>
    <t>The reported revenue excludes Prepaid Electricity Revenue sold in  June 2019 but received in July 2019 as well as the year-end journal of R22 789 931 for accrual of revenue accrued for the 2017/2018 financial year but billed in July 2018. During the year end processes in July 2019 a journal will be processed to include revenue accrued before 30 June 2019 but billed in July 2019.</t>
  </si>
  <si>
    <t>More rental revenue received than initially budgeted.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</si>
</sst>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 #,##0_ ;_ * \-#,##0_ ;_ * &quot;-&quot;_ ;_ @_ "/>
    <numFmt numFmtId="165" formatCode="_ * #,##0.00_ ;_ * \-#,##0.00_ ;_ * &quot;-&quot;??_ ;_ @_ "/>
    <numFmt numFmtId="166" formatCode="_(* #,##0.00_);_(* \(#,##0.00\);_(* &quot;-&quot;??_);_(@_)"/>
    <numFmt numFmtId="167" formatCode="_ * #,##0_ ;_ * \-#,##0_ ;_ * &quot;-&quot;??_ ;_ @_ "/>
    <numFmt numFmtId="168" formatCode="_ * #,##0.0_ ;_ * \-#,##0.0_ ;_ * &quot;-&quot;??_ ;_ @_ "/>
    <numFmt numFmtId="169" formatCode="#,###,;[Red]\(#,###,\)"/>
    <numFmt numFmtId="170" formatCode="0.0%"/>
    <numFmt numFmtId="171" formatCode="#,###,;\(#,###,\)"/>
    <numFmt numFmtId="172" formatCode="#,###,,;\(#,###,,\)"/>
    <numFmt numFmtId="173" formatCode="_(* #,##0,,_);_(* \(#,##0,,\);_(* &quot;–&quot;?_);_(@_)"/>
    <numFmt numFmtId="174" formatCode="_(* #,##0,_);_(* \(#,##0,\);_(* &quot;–&quot;?_);_(@_)"/>
    <numFmt numFmtId="175" formatCode="0%;\-0%;_(* &quot;–&quot;?_);_(@_)"/>
    <numFmt numFmtId="176" formatCode="m/d/yy;@"/>
    <numFmt numFmtId="177" formatCode="0000"/>
  </numFmts>
  <fonts count="58" x14ac:knownFonts="1">
    <font>
      <sz val="10"/>
      <name val="Arial"/>
    </font>
    <font>
      <sz val="11"/>
      <color indexed="8"/>
      <name val="Calibri"/>
      <family val="2"/>
    </font>
    <font>
      <sz val="10"/>
      <name val="Arial"/>
      <family val="2"/>
    </font>
    <font>
      <sz val="8"/>
      <name val="Arial"/>
      <family val="2"/>
    </font>
    <font>
      <b/>
      <sz val="8"/>
      <name val="Arial"/>
      <family val="2"/>
    </font>
    <font>
      <b/>
      <u/>
      <sz val="8"/>
      <name val="Arial"/>
      <family val="2"/>
    </font>
    <font>
      <b/>
      <sz val="10"/>
      <name val="Arial Narrow"/>
      <family val="2"/>
    </font>
    <font>
      <sz val="8"/>
      <name val="Arial Narrow"/>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sz val="10"/>
      <color indexed="9"/>
      <name val="Arial"/>
      <family val="2"/>
    </font>
    <font>
      <b/>
      <sz val="8"/>
      <color indexed="9"/>
      <name val="Arial"/>
      <family val="2"/>
    </font>
    <font>
      <b/>
      <sz val="14"/>
      <color indexed="10"/>
      <name val="Arial"/>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Narrow"/>
      <family val="2"/>
    </font>
    <font>
      <b/>
      <sz val="10"/>
      <name val="Arial"/>
      <family val="2"/>
    </font>
    <font>
      <sz val="10"/>
      <name val="Arial"/>
      <family val="2"/>
    </font>
    <font>
      <i/>
      <sz val="8"/>
      <name val="Arial"/>
      <family val="2"/>
    </font>
    <font>
      <sz val="10"/>
      <name val="Arial"/>
      <family val="2"/>
    </font>
    <font>
      <b/>
      <i/>
      <sz val="8"/>
      <name val="Arial"/>
      <family val="2"/>
    </font>
    <font>
      <b/>
      <i/>
      <sz val="10"/>
      <name val="Arial"/>
      <family val="2"/>
    </font>
    <font>
      <b/>
      <sz val="9"/>
      <name val="Arial Narrow"/>
      <family val="2"/>
    </font>
    <font>
      <sz val="9"/>
      <name val="Arial Narrow"/>
      <family val="2"/>
    </font>
    <font>
      <sz val="10"/>
      <color indexed="8"/>
      <name val="Arial"/>
      <family val="2"/>
    </font>
    <font>
      <b/>
      <u/>
      <sz val="9.5"/>
      <name val="Arial Narrow"/>
      <family val="2"/>
    </font>
    <font>
      <sz val="9.5"/>
      <name val="Arial Narrow"/>
      <family val="2"/>
    </font>
    <font>
      <u/>
      <sz val="10"/>
      <color indexed="12"/>
      <name val="Arial"/>
      <family val="2"/>
    </font>
    <font>
      <i/>
      <sz val="8"/>
      <color indexed="9"/>
      <name val="Arial"/>
      <family val="2"/>
    </font>
    <font>
      <b/>
      <i/>
      <sz val="8"/>
      <color indexed="9"/>
      <name val="Arial"/>
      <family val="2"/>
    </font>
    <font>
      <b/>
      <i/>
      <sz val="10"/>
      <color indexed="9"/>
      <name val="Arial"/>
      <family val="2"/>
    </font>
    <font>
      <b/>
      <i/>
      <u/>
      <sz val="8"/>
      <color indexed="9"/>
      <name val="Arial"/>
      <family val="2"/>
    </font>
    <font>
      <sz val="10"/>
      <color indexed="8"/>
      <name val="Arial"/>
      <family val="2"/>
    </font>
    <font>
      <sz val="11"/>
      <color indexed="8"/>
      <name val="Calibri"/>
      <family val="2"/>
    </font>
    <font>
      <u/>
      <sz val="10"/>
      <color theme="10"/>
      <name val="Arial"/>
      <family val="2"/>
    </font>
    <font>
      <sz val="10"/>
      <color theme="1"/>
      <name val="Arial"/>
      <family val="2"/>
    </font>
    <font>
      <sz val="11"/>
      <color theme="1"/>
      <name val="Calibri"/>
      <family val="2"/>
      <scheme val="minor"/>
    </font>
    <font>
      <sz val="10"/>
      <color rgb="FF00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56"/>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hair">
        <color indexed="64"/>
      </left>
      <right/>
      <top style="thin">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thin">
        <color indexed="64"/>
      </left>
      <right/>
      <top style="thick">
        <color indexed="64"/>
      </top>
      <bottom/>
      <diagonal/>
    </border>
    <border>
      <left/>
      <right style="thin">
        <color indexed="64"/>
      </right>
      <top style="thick">
        <color indexed="64"/>
      </top>
      <bottom/>
      <diagonal/>
    </border>
    <border>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hair">
        <color indexed="64"/>
      </bottom>
      <diagonal/>
    </border>
  </borders>
  <cellStyleXfs count="167">
    <xf numFmtId="0" fontId="0" fillId="0" borderId="0"/>
    <xf numFmtId="0" fontId="18"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8"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8"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8"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8"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8"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8"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1" fillId="20" borderId="1" applyNumberFormat="0" applyAlignment="0" applyProtection="0"/>
    <xf numFmtId="0" fontId="22" fillId="21" borderId="2" applyNumberFormat="0" applyAlignment="0" applyProtection="0"/>
    <xf numFmtId="0" fontId="22" fillId="21" borderId="2"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2" fillId="0" borderId="0" applyFont="0" applyFill="0" applyBorder="0" applyAlignment="0" applyProtection="0"/>
    <xf numFmtId="165" fontId="52"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4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4" borderId="0" applyNumberFormat="0" applyBorder="0" applyAlignment="0" applyProtection="0"/>
    <xf numFmtId="0" fontId="24" fillId="4" borderId="0" applyNumberFormat="0" applyBorder="0" applyAlignment="0" applyProtection="0"/>
    <xf numFmtId="0" fontId="25" fillId="0" borderId="3" applyNumberFormat="0" applyFill="0" applyAlignment="0" applyProtection="0"/>
    <xf numFmtId="0" fontId="25" fillId="0" borderId="3"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54" fillId="0" borderId="0" applyNumberFormat="0" applyFill="0" applyBorder="0" applyAlignment="0" applyProtection="0"/>
    <xf numFmtId="0" fontId="47" fillId="0" borderId="0" applyNumberFormat="0" applyFill="0" applyBorder="0" applyAlignment="0" applyProtection="0">
      <alignment vertical="top"/>
      <protection locked="0"/>
    </xf>
    <xf numFmtId="0" fontId="36" fillId="0" borderId="0" applyNumberFormat="0" applyFont="0" applyFill="0" applyBorder="0" applyAlignment="0" applyProtection="0">
      <alignment vertical="top"/>
      <protection locked="0"/>
    </xf>
    <xf numFmtId="0" fontId="28" fillId="7" borderId="1" applyNumberFormat="0" applyAlignment="0" applyProtection="0"/>
    <xf numFmtId="0" fontId="28" fillId="7" borderId="1" applyNumberFormat="0" applyAlignment="0" applyProtection="0"/>
    <xf numFmtId="0" fontId="29" fillId="0" borderId="6" applyNumberFormat="0" applyFill="0" applyAlignment="0" applyProtection="0"/>
    <xf numFmtId="0" fontId="29" fillId="0" borderId="6" applyNumberFormat="0" applyFill="0" applyAlignment="0" applyProtection="0"/>
    <xf numFmtId="0" fontId="30" fillId="22" borderId="0" applyNumberFormat="0" applyBorder="0" applyAlignment="0" applyProtection="0"/>
    <xf numFmtId="0" fontId="30" fillId="22" borderId="0" applyNumberFormat="0" applyBorder="0" applyAlignment="0" applyProtection="0"/>
    <xf numFmtId="0" fontId="2" fillId="0" borderId="0"/>
    <xf numFmtId="0" fontId="2" fillId="0" borderId="0"/>
    <xf numFmtId="0" fontId="55" fillId="0" borderId="0"/>
    <xf numFmtId="0" fontId="2" fillId="0" borderId="0"/>
    <xf numFmtId="0" fontId="56" fillId="0" borderId="0"/>
    <xf numFmtId="0" fontId="56" fillId="0" borderId="0"/>
    <xf numFmtId="0" fontId="56" fillId="0" borderId="0"/>
    <xf numFmtId="0" fontId="56" fillId="0" borderId="0"/>
    <xf numFmtId="0" fontId="56" fillId="0" borderId="0"/>
    <xf numFmtId="0" fontId="55" fillId="0" borderId="0"/>
    <xf numFmtId="0" fontId="56" fillId="0" borderId="0"/>
    <xf numFmtId="0" fontId="56" fillId="0" borderId="0"/>
    <xf numFmtId="0" fontId="56" fillId="0" borderId="0"/>
    <xf numFmtId="0" fontId="56" fillId="0" borderId="0"/>
    <xf numFmtId="0" fontId="2" fillId="0" borderId="0"/>
    <xf numFmtId="0" fontId="55" fillId="0" borderId="0"/>
    <xf numFmtId="0" fontId="2" fillId="0" borderId="0"/>
    <xf numFmtId="0" fontId="56"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1" fillId="20" borderId="8" applyNumberFormat="0" applyAlignment="0" applyProtection="0"/>
    <xf numFmtId="0" fontId="31" fillId="20" borderId="8" applyNumberFormat="0" applyAlignment="0" applyProtection="0"/>
    <xf numFmtId="9" fontId="2" fillId="0" borderId="0" applyFont="0" applyFill="0" applyBorder="0" applyAlignment="0" applyProtection="0"/>
    <xf numFmtId="9" fontId="3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3"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2" fillId="0" borderId="0" applyFont="0" applyFill="0" applyBorder="0" applyAlignment="0" applyProtection="0"/>
  </cellStyleXfs>
  <cellXfs count="1042">
    <xf numFmtId="0" fontId="0" fillId="0" borderId="0" xfId="0"/>
    <xf numFmtId="0" fontId="3" fillId="0" borderId="0" xfId="0" applyFont="1"/>
    <xf numFmtId="0" fontId="3" fillId="0" borderId="10" xfId="0" applyFont="1" applyBorder="1" applyAlignment="1">
      <alignment horizontal="center"/>
    </xf>
    <xf numFmtId="0" fontId="3" fillId="0" borderId="0" xfId="0" applyFont="1" applyAlignment="1">
      <alignment horizontal="center"/>
    </xf>
    <xf numFmtId="0" fontId="5" fillId="0" borderId="0" xfId="0" applyFont="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applyAlignment="1">
      <alignment horizontal="center"/>
    </xf>
    <xf numFmtId="0" fontId="3" fillId="0" borderId="11" xfId="0" applyFont="1" applyBorder="1" applyAlignment="1">
      <alignment horizontal="center"/>
    </xf>
    <xf numFmtId="0" fontId="3" fillId="0" borderId="16" xfId="0" applyFont="1" applyBorder="1" applyAlignment="1">
      <alignment horizontal="center"/>
    </xf>
    <xf numFmtId="0" fontId="3" fillId="0" borderId="13" xfId="0" applyFont="1" applyBorder="1" applyAlignment="1">
      <alignment horizontal="center"/>
    </xf>
    <xf numFmtId="0" fontId="3" fillId="0" borderId="17" xfId="0" applyFont="1" applyBorder="1" applyAlignment="1">
      <alignment horizontal="center"/>
    </xf>
    <xf numFmtId="0" fontId="3" fillId="0" borderId="11" xfId="0" quotePrefix="1" applyFont="1" applyBorder="1"/>
    <xf numFmtId="0" fontId="3" fillId="0" borderId="0" xfId="0" quotePrefix="1" applyFont="1"/>
    <xf numFmtId="0" fontId="4" fillId="24" borderId="18" xfId="0" applyFont="1" applyFill="1" applyBorder="1" applyAlignment="1">
      <alignment horizontal="center"/>
    </xf>
    <xf numFmtId="0" fontId="8" fillId="0" borderId="19" xfId="0" applyFont="1" applyBorder="1" applyAlignment="1">
      <alignment horizontal="center" vertical="top" wrapText="1"/>
    </xf>
    <xf numFmtId="0" fontId="8" fillId="0" borderId="15" xfId="0" applyFont="1" applyBorder="1" applyAlignment="1">
      <alignment horizontal="center" vertical="center"/>
    </xf>
    <xf numFmtId="0" fontId="11" fillId="0" borderId="0" xfId="0" applyFont="1" applyAlignment="1">
      <alignment horizontal="left"/>
    </xf>
    <xf numFmtId="0" fontId="11" fillId="0" borderId="0" xfId="0" quotePrefix="1" applyFont="1" applyAlignment="1">
      <alignment horizontal="left" wrapText="1"/>
    </xf>
    <xf numFmtId="0" fontId="8" fillId="0" borderId="20" xfId="0" applyFont="1" applyBorder="1" applyAlignment="1">
      <alignment horizontal="center" vertical="center" wrapText="1"/>
    </xf>
    <xf numFmtId="0" fontId="7" fillId="0" borderId="0" xfId="0" applyFont="1"/>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173" fontId="7" fillId="0" borderId="22" xfId="0" applyNumberFormat="1" applyFont="1" applyBorder="1"/>
    <xf numFmtId="173" fontId="7" fillId="0" borderId="23" xfId="0" applyNumberFormat="1" applyFont="1" applyBorder="1"/>
    <xf numFmtId="0" fontId="7" fillId="0" borderId="17" xfId="0" applyFont="1" applyBorder="1"/>
    <xf numFmtId="173" fontId="7" fillId="0" borderId="24" xfId="0" applyNumberFormat="1" applyFont="1" applyBorder="1"/>
    <xf numFmtId="0" fontId="8" fillId="0" borderId="16" xfId="0" applyFont="1" applyBorder="1" applyAlignment="1">
      <alignment horizontal="left" vertical="center"/>
    </xf>
    <xf numFmtId="0" fontId="10" fillId="0" borderId="11" xfId="0" applyFont="1" applyBorder="1"/>
    <xf numFmtId="0" fontId="8" fillId="0" borderId="23" xfId="0" applyFont="1" applyBorder="1" applyAlignment="1">
      <alignment horizontal="center"/>
    </xf>
    <xf numFmtId="0" fontId="8" fillId="0" borderId="25" xfId="0" applyFont="1" applyBorder="1" applyAlignment="1">
      <alignment horizontal="center"/>
    </xf>
    <xf numFmtId="0" fontId="8" fillId="0" borderId="10" xfId="0" applyFont="1" applyBorder="1" applyAlignment="1">
      <alignment horizontal="center"/>
    </xf>
    <xf numFmtId="0" fontId="7" fillId="0" borderId="11" xfId="0" applyFont="1" applyBorder="1" applyAlignment="1">
      <alignment horizontal="left" indent="1"/>
    </xf>
    <xf numFmtId="171" fontId="7" fillId="0" borderId="10" xfId="0" applyNumberFormat="1" applyFont="1" applyBorder="1"/>
    <xf numFmtId="0" fontId="8" fillId="0" borderId="11" xfId="0" applyFont="1" applyBorder="1" applyAlignment="1">
      <alignment horizontal="left"/>
    </xf>
    <xf numFmtId="0" fontId="7" fillId="0" borderId="11" xfId="0" applyFont="1" applyBorder="1"/>
    <xf numFmtId="174" fontId="7" fillId="0" borderId="0" xfId="0" applyNumberFormat="1" applyFont="1"/>
    <xf numFmtId="174" fontId="7" fillId="0" borderId="22" xfId="0" applyNumberFormat="1" applyFont="1" applyBorder="1"/>
    <xf numFmtId="174" fontId="7" fillId="0" borderId="13" xfId="0" applyNumberFormat="1" applyFont="1" applyBorder="1"/>
    <xf numFmtId="174" fontId="7" fillId="0" borderId="26" xfId="0" applyNumberFormat="1" applyFont="1" applyBorder="1"/>
    <xf numFmtId="171" fontId="7" fillId="0" borderId="13" xfId="0" applyNumberFormat="1" applyFont="1" applyBorder="1"/>
    <xf numFmtId="174" fontId="8" fillId="0" borderId="0" xfId="0" applyNumberFormat="1" applyFont="1"/>
    <xf numFmtId="174" fontId="8" fillId="0" borderId="22" xfId="0" applyNumberFormat="1" applyFont="1" applyBorder="1"/>
    <xf numFmtId="174" fontId="8" fillId="0" borderId="26" xfId="0" applyNumberFormat="1" applyFont="1" applyBorder="1"/>
    <xf numFmtId="171" fontId="8" fillId="0" borderId="10" xfId="0" applyNumberFormat="1" applyFont="1" applyBorder="1"/>
    <xf numFmtId="0" fontId="8" fillId="0" borderId="27" xfId="0" applyFont="1" applyBorder="1"/>
    <xf numFmtId="174" fontId="8" fillId="0" borderId="28" xfId="0" applyNumberFormat="1" applyFont="1" applyBorder="1"/>
    <xf numFmtId="174" fontId="8" fillId="0" borderId="29" xfId="0" applyNumberFormat="1" applyFont="1" applyBorder="1"/>
    <xf numFmtId="174" fontId="8" fillId="0" borderId="30" xfId="0" applyNumberFormat="1" applyFont="1" applyBorder="1"/>
    <xf numFmtId="0" fontId="12" fillId="0" borderId="0" xfId="0" applyFont="1"/>
    <xf numFmtId="0" fontId="7" fillId="0" borderId="0" xfId="0" applyFont="1" applyAlignment="1">
      <alignment horizontal="center"/>
    </xf>
    <xf numFmtId="171" fontId="8" fillId="0" borderId="0" xfId="0" applyNumberFormat="1" applyFont="1"/>
    <xf numFmtId="0" fontId="11" fillId="0" borderId="0" xfId="0" quotePrefix="1" applyFont="1"/>
    <xf numFmtId="0" fontId="8" fillId="0" borderId="0" xfId="0" applyFont="1"/>
    <xf numFmtId="0" fontId="11" fillId="0" borderId="0" xfId="0" applyFont="1" applyAlignment="1">
      <alignment horizontal="center"/>
    </xf>
    <xf numFmtId="0" fontId="11" fillId="0" borderId="0" xfId="0" applyFont="1" applyAlignment="1">
      <alignment horizontal="right"/>
    </xf>
    <xf numFmtId="167" fontId="7" fillId="0" borderId="0" xfId="79" applyNumberFormat="1" applyFont="1"/>
    <xf numFmtId="167" fontId="7" fillId="0" borderId="0" xfId="79" applyNumberFormat="1" applyFont="1" applyAlignment="1">
      <alignment horizontal="center"/>
    </xf>
    <xf numFmtId="170" fontId="7" fillId="0" borderId="0" xfId="151" applyNumberFormat="1" applyFont="1" applyAlignment="1">
      <alignment horizontal="center"/>
    </xf>
    <xf numFmtId="167" fontId="7" fillId="0" borderId="0" xfId="0" applyNumberFormat="1" applyFont="1"/>
    <xf numFmtId="170" fontId="7" fillId="0" borderId="0" xfId="0" applyNumberFormat="1" applyFont="1"/>
    <xf numFmtId="174" fontId="8" fillId="0" borderId="31" xfId="0" applyNumberFormat="1" applyFont="1" applyBorder="1"/>
    <xf numFmtId="174" fontId="8" fillId="0" borderId="32" xfId="0" applyNumberFormat="1" applyFont="1" applyBorder="1"/>
    <xf numFmtId="170" fontId="7" fillId="0" borderId="0" xfId="0" applyNumberFormat="1" applyFont="1" applyAlignment="1">
      <alignment horizontal="center"/>
    </xf>
    <xf numFmtId="174" fontId="8" fillId="0" borderId="24" xfId="0" applyNumberFormat="1" applyFont="1" applyBorder="1"/>
    <xf numFmtId="174" fontId="8" fillId="0" borderId="33" xfId="0" applyNumberFormat="1" applyFont="1" applyBorder="1"/>
    <xf numFmtId="0" fontId="12" fillId="0" borderId="0" xfId="0" applyFont="1" applyAlignment="1">
      <alignment horizontal="left"/>
    </xf>
    <xf numFmtId="171" fontId="9" fillId="0" borderId="0" xfId="0" applyNumberFormat="1" applyFont="1"/>
    <xf numFmtId="0" fontId="11" fillId="0" borderId="0" xfId="0" applyFont="1"/>
    <xf numFmtId="0" fontId="11" fillId="0" borderId="11" xfId="0" applyFont="1" applyBorder="1" applyAlignment="1">
      <alignment horizontal="right"/>
    </xf>
    <xf numFmtId="0" fontId="7" fillId="0" borderId="24" xfId="0" applyFont="1" applyBorder="1" applyAlignment="1">
      <alignment horizontal="center" vertical="center"/>
    </xf>
    <xf numFmtId="174" fontId="8" fillId="0" borderId="34" xfId="0" applyNumberFormat="1" applyFont="1" applyBorder="1"/>
    <xf numFmtId="171" fontId="7" fillId="0" borderId="0" xfId="0" applyNumberFormat="1" applyFont="1"/>
    <xf numFmtId="0" fontId="8" fillId="0" borderId="11" xfId="0" applyFont="1" applyBorder="1"/>
    <xf numFmtId="0" fontId="11" fillId="0" borderId="11" xfId="0" applyFont="1" applyBorder="1"/>
    <xf numFmtId="169" fontId="8" fillId="0" borderId="0" xfId="0" applyNumberFormat="1" applyFont="1"/>
    <xf numFmtId="0" fontId="7" fillId="0" borderId="16" xfId="0" applyFont="1" applyBorder="1"/>
    <xf numFmtId="0" fontId="8" fillId="0" borderId="35" xfId="0" applyFont="1" applyBorder="1"/>
    <xf numFmtId="165" fontId="7" fillId="0" borderId="0" xfId="79" applyFont="1"/>
    <xf numFmtId="0" fontId="8" fillId="0" borderId="16" xfId="0" applyFont="1" applyBorder="1"/>
    <xf numFmtId="9" fontId="7" fillId="0" borderId="0" xfId="151" applyFont="1"/>
    <xf numFmtId="174" fontId="7" fillId="0" borderId="36" xfId="0" applyNumberFormat="1" applyFont="1" applyBorder="1"/>
    <xf numFmtId="171" fontId="7" fillId="0" borderId="22" xfId="0" applyNumberFormat="1" applyFont="1" applyBorder="1"/>
    <xf numFmtId="171" fontId="7" fillId="0" borderId="26" xfId="0" applyNumberFormat="1" applyFont="1" applyBorder="1"/>
    <xf numFmtId="0" fontId="8" fillId="0" borderId="11" xfId="0" applyFont="1" applyBorder="1" applyAlignment="1">
      <alignment horizontal="left" indent="1"/>
    </xf>
    <xf numFmtId="0" fontId="7" fillId="0" borderId="11" xfId="0" applyFont="1" applyBorder="1" applyAlignment="1">
      <alignment horizontal="left" indent="2"/>
    </xf>
    <xf numFmtId="174" fontId="7" fillId="0" borderId="37" xfId="0" applyNumberFormat="1" applyFont="1" applyBorder="1"/>
    <xf numFmtId="174" fontId="8" fillId="0" borderId="10" xfId="0" applyNumberFormat="1" applyFont="1" applyBorder="1"/>
    <xf numFmtId="174" fontId="8" fillId="0" borderId="37" xfId="0" applyNumberFormat="1" applyFont="1" applyBorder="1"/>
    <xf numFmtId="0" fontId="7" fillId="0" borderId="11" xfId="0" applyFont="1" applyBorder="1" applyAlignment="1">
      <alignment horizontal="left" wrapText="1" indent="1"/>
    </xf>
    <xf numFmtId="174" fontId="8" fillId="0" borderId="38" xfId="0" applyNumberFormat="1" applyFont="1" applyBorder="1"/>
    <xf numFmtId="174" fontId="7" fillId="0" borderId="24" xfId="0" applyNumberFormat="1" applyFont="1" applyBorder="1"/>
    <xf numFmtId="174" fontId="7" fillId="0" borderId="33" xfId="0" applyNumberFormat="1" applyFont="1" applyBorder="1"/>
    <xf numFmtId="0" fontId="7" fillId="0" borderId="19" xfId="0" applyFont="1" applyBorder="1" applyAlignment="1">
      <alignment horizontal="center"/>
    </xf>
    <xf numFmtId="170" fontId="7" fillId="0" borderId="10" xfId="151" applyNumberFormat="1" applyFont="1" applyBorder="1" applyAlignment="1">
      <alignment horizontal="center" vertical="top" wrapText="1"/>
    </xf>
    <xf numFmtId="0" fontId="10" fillId="0" borderId="15" xfId="0" applyFont="1" applyBorder="1" applyAlignment="1">
      <alignment horizontal="left" wrapText="1"/>
    </xf>
    <xf numFmtId="0" fontId="7" fillId="0" borderId="11" xfId="0" applyFont="1" applyBorder="1" applyAlignment="1">
      <alignment horizontal="left" vertical="top" wrapText="1"/>
    </xf>
    <xf numFmtId="170" fontId="7" fillId="0" borderId="22" xfId="151" applyNumberFormat="1" applyFont="1" applyBorder="1" applyAlignment="1">
      <alignment horizontal="center" vertical="top" wrapText="1"/>
    </xf>
    <xf numFmtId="170" fontId="7" fillId="0" borderId="0" xfId="151" applyNumberFormat="1" applyFont="1" applyAlignment="1">
      <alignment horizontal="center" vertical="top" wrapText="1"/>
    </xf>
    <xf numFmtId="0" fontId="7" fillId="0" borderId="11" xfId="0" applyFont="1" applyBorder="1" applyAlignment="1">
      <alignment horizontal="left" vertical="top" wrapText="1" indent="1"/>
    </xf>
    <xf numFmtId="0" fontId="10" fillId="0" borderId="11" xfId="0" applyFont="1" applyBorder="1" applyAlignment="1">
      <alignment horizontal="left" wrapText="1"/>
    </xf>
    <xf numFmtId="0" fontId="10" fillId="0" borderId="11" xfId="0" applyFont="1" applyBorder="1" applyAlignment="1">
      <alignment horizontal="left" vertical="top" wrapText="1"/>
    </xf>
    <xf numFmtId="0" fontId="7" fillId="0" borderId="16" xfId="0" applyFont="1" applyBorder="1" applyAlignment="1">
      <alignment horizontal="left" indent="1"/>
    </xf>
    <xf numFmtId="0" fontId="7" fillId="0" borderId="39"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9" fontId="7" fillId="0" borderId="24" xfId="151" applyFont="1" applyBorder="1" applyAlignment="1">
      <alignment horizontal="center"/>
    </xf>
    <xf numFmtId="174" fontId="7" fillId="0" borderId="10" xfId="0" applyNumberFormat="1" applyFont="1" applyBorder="1"/>
    <xf numFmtId="0" fontId="10" fillId="0" borderId="40" xfId="0" applyFont="1" applyBorder="1"/>
    <xf numFmtId="0" fontId="8" fillId="0" borderId="41" xfId="0" applyFont="1" applyBorder="1" applyAlignment="1">
      <alignment horizontal="centerContinuous" vertical="center" wrapText="1"/>
    </xf>
    <xf numFmtId="0" fontId="8" fillId="0" borderId="20" xfId="0" applyFont="1" applyBorder="1" applyAlignment="1">
      <alignment horizontal="centerContinuous" vertical="center" wrapText="1"/>
    </xf>
    <xf numFmtId="0" fontId="8" fillId="0" borderId="42" xfId="0" applyFont="1" applyBorder="1" applyAlignment="1">
      <alignment horizontal="centerContinuous"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174" fontId="7" fillId="0" borderId="46" xfId="0" applyNumberFormat="1" applyFont="1" applyBorder="1"/>
    <xf numFmtId="174" fontId="8" fillId="0" borderId="47" xfId="0" applyNumberFormat="1" applyFont="1" applyBorder="1"/>
    <xf numFmtId="9" fontId="8" fillId="0" borderId="22" xfId="151" applyFont="1" applyBorder="1" applyAlignment="1">
      <alignment horizontal="center"/>
    </xf>
    <xf numFmtId="9" fontId="8" fillId="0" borderId="0" xfId="151" applyFont="1" applyAlignment="1">
      <alignment horizontal="center"/>
    </xf>
    <xf numFmtId="0" fontId="8" fillId="0" borderId="48" xfId="0" applyFont="1" applyBorder="1" applyAlignment="1">
      <alignment horizontal="center" vertical="center" wrapText="1"/>
    </xf>
    <xf numFmtId="0" fontId="8" fillId="0" borderId="26" xfId="0" applyFont="1" applyBorder="1" applyAlignment="1">
      <alignment horizontal="center" vertical="center" wrapText="1"/>
    </xf>
    <xf numFmtId="0" fontId="10" fillId="0" borderId="39" xfId="0" applyFont="1" applyBorder="1"/>
    <xf numFmtId="0" fontId="7" fillId="0" borderId="10" xfId="0" applyFont="1" applyBorder="1" applyAlignment="1">
      <alignment horizontal="left" indent="1"/>
    </xf>
    <xf numFmtId="0" fontId="8" fillId="0" borderId="10" xfId="0" applyFont="1" applyBorder="1"/>
    <xf numFmtId="0" fontId="7" fillId="0" borderId="19" xfId="0" applyFont="1" applyBorder="1"/>
    <xf numFmtId="0" fontId="10" fillId="0" borderId="10" xfId="0" applyFont="1" applyBorder="1"/>
    <xf numFmtId="172" fontId="7" fillId="0" borderId="0" xfId="0" applyNumberFormat="1" applyFont="1"/>
    <xf numFmtId="0" fontId="8" fillId="0" borderId="42" xfId="0" applyFont="1" applyBorder="1" applyAlignment="1">
      <alignment horizontal="center" vertical="center" wrapText="1"/>
    </xf>
    <xf numFmtId="0" fontId="8" fillId="0" borderId="10" xfId="0" applyFont="1" applyBorder="1" applyAlignment="1">
      <alignment horizontal="center" vertical="center" wrapText="1"/>
    </xf>
    <xf numFmtId="174" fontId="7" fillId="0" borderId="38" xfId="0" applyNumberFormat="1" applyFont="1" applyBorder="1"/>
    <xf numFmtId="174" fontId="7" fillId="0" borderId="31" xfId="0" applyNumberFormat="1" applyFont="1" applyBorder="1"/>
    <xf numFmtId="0" fontId="6" fillId="0" borderId="0" xfId="0" applyFont="1" applyAlignment="1">
      <alignment horizontal="left"/>
    </xf>
    <xf numFmtId="0" fontId="8" fillId="0" borderId="37" xfId="0" applyFont="1" applyBorder="1" applyAlignment="1">
      <alignment horizontal="center" vertical="center" wrapText="1"/>
    </xf>
    <xf numFmtId="0" fontId="8" fillId="0" borderId="49" xfId="0" applyFont="1" applyBorder="1" applyAlignment="1">
      <alignment horizontal="center" vertical="center" wrapText="1"/>
    </xf>
    <xf numFmtId="0" fontId="7" fillId="0" borderId="22" xfId="0" applyFont="1" applyBorder="1"/>
    <xf numFmtId="0" fontId="7" fillId="0" borderId="10" xfId="0" applyFont="1" applyBorder="1"/>
    <xf numFmtId="0" fontId="8" fillId="0" borderId="0" xfId="0" applyFont="1" applyAlignment="1">
      <alignment horizontal="center"/>
    </xf>
    <xf numFmtId="0" fontId="7" fillId="0" borderId="11" xfId="0" applyFont="1" applyBorder="1" applyAlignment="1">
      <alignment horizontal="center"/>
    </xf>
    <xf numFmtId="0" fontId="7" fillId="0" borderId="10" xfId="0" applyFont="1" applyBorder="1" applyAlignment="1">
      <alignment horizontal="center"/>
    </xf>
    <xf numFmtId="0" fontId="8" fillId="0" borderId="39" xfId="0" applyFont="1" applyBorder="1" applyAlignment="1">
      <alignment horizontal="center"/>
    </xf>
    <xf numFmtId="9" fontId="8" fillId="0" borderId="10" xfId="151" applyFont="1" applyBorder="1" applyAlignment="1">
      <alignment horizontal="center"/>
    </xf>
    <xf numFmtId="0" fontId="7" fillId="0" borderId="10" xfId="0" applyFont="1" applyBorder="1" applyAlignment="1">
      <alignment horizontal="left" vertical="top" wrapText="1"/>
    </xf>
    <xf numFmtId="0" fontId="13" fillId="0" borderId="10" xfId="0" applyFont="1" applyBorder="1" applyAlignment="1">
      <alignment horizontal="center"/>
    </xf>
    <xf numFmtId="171" fontId="7" fillId="0" borderId="19" xfId="0" applyNumberFormat="1" applyFont="1" applyBorder="1"/>
    <xf numFmtId="0" fontId="7" fillId="0" borderId="19" xfId="0" applyFont="1" applyBorder="1" applyAlignment="1">
      <alignment horizontal="left" vertical="top" wrapText="1"/>
    </xf>
    <xf numFmtId="0" fontId="10" fillId="0" borderId="15" xfId="0" applyFont="1" applyBorder="1"/>
    <xf numFmtId="0" fontId="7" fillId="0" borderId="0" xfId="0" applyFont="1" applyAlignment="1">
      <alignment horizontal="left"/>
    </xf>
    <xf numFmtId="0" fontId="7" fillId="0" borderId="13" xfId="0" applyFont="1" applyBorder="1"/>
    <xf numFmtId="0" fontId="7" fillId="0" borderId="39" xfId="0" applyFont="1" applyBorder="1" applyAlignment="1">
      <alignment horizontal="center"/>
    </xf>
    <xf numFmtId="0" fontId="7" fillId="0" borderId="19" xfId="0" applyFont="1" applyBorder="1" applyAlignment="1">
      <alignment horizontal="center" vertical="center"/>
    </xf>
    <xf numFmtId="0" fontId="8" fillId="0" borderId="19" xfId="0" applyFont="1" applyBorder="1" applyAlignment="1">
      <alignment horizontal="left" vertical="center"/>
    </xf>
    <xf numFmtId="0" fontId="8" fillId="0" borderId="46" xfId="0" applyFont="1" applyBorder="1" applyAlignment="1">
      <alignment horizontal="center" vertical="center" wrapText="1"/>
    </xf>
    <xf numFmtId="174" fontId="7" fillId="0" borderId="50" xfId="0" applyNumberFormat="1" applyFont="1" applyBorder="1"/>
    <xf numFmtId="0" fontId="7" fillId="0" borderId="26" xfId="0" applyFont="1" applyBorder="1"/>
    <xf numFmtId="0" fontId="7" fillId="0" borderId="46" xfId="0" applyFont="1" applyBorder="1"/>
    <xf numFmtId="174" fontId="8" fillId="0" borderId="46" xfId="0" applyNumberFormat="1" applyFont="1" applyBorder="1"/>
    <xf numFmtId="174" fontId="7" fillId="0" borderId="51" xfId="0" applyNumberFormat="1" applyFont="1" applyBorder="1"/>
    <xf numFmtId="173" fontId="7" fillId="0" borderId="26" xfId="0" applyNumberFormat="1" applyFont="1" applyBorder="1"/>
    <xf numFmtId="173" fontId="7" fillId="0" borderId="10" xfId="0" applyNumberFormat="1" applyFont="1" applyBorder="1"/>
    <xf numFmtId="172" fontId="7" fillId="0" borderId="19" xfId="0" applyNumberFormat="1" applyFont="1" applyBorder="1"/>
    <xf numFmtId="0" fontId="8" fillId="0" borderId="52" xfId="0" applyFont="1" applyBorder="1" applyAlignment="1">
      <alignment horizontal="center" vertical="center" wrapText="1"/>
    </xf>
    <xf numFmtId="9" fontId="7" fillId="0" borderId="22" xfId="151" applyFont="1" applyBorder="1" applyAlignment="1">
      <alignment horizontal="center"/>
    </xf>
    <xf numFmtId="173" fontId="7" fillId="0" borderId="46" xfId="0" applyNumberFormat="1" applyFont="1" applyBorder="1"/>
    <xf numFmtId="172" fontId="7" fillId="0" borderId="33" xfId="0" applyNumberFormat="1" applyFont="1" applyBorder="1"/>
    <xf numFmtId="172" fontId="7" fillId="0" borderId="24" xfId="0" applyNumberFormat="1" applyFont="1" applyBorder="1"/>
    <xf numFmtId="172" fontId="7" fillId="0" borderId="50" xfId="0" applyNumberFormat="1" applyFont="1" applyBorder="1"/>
    <xf numFmtId="9" fontId="8" fillId="0" borderId="43" xfId="151" applyFont="1" applyBorder="1" applyAlignment="1">
      <alignment horizontal="center" vertical="center" wrapText="1"/>
    </xf>
    <xf numFmtId="175" fontId="8" fillId="0" borderId="22" xfId="151" applyNumberFormat="1" applyFont="1" applyBorder="1"/>
    <xf numFmtId="175" fontId="7" fillId="0" borderId="22" xfId="151" applyNumberFormat="1" applyFont="1" applyBorder="1"/>
    <xf numFmtId="175" fontId="7" fillId="0" borderId="36" xfId="151" applyNumberFormat="1" applyFont="1" applyBorder="1"/>
    <xf numFmtId="173" fontId="7" fillId="0" borderId="19" xfId="0" applyNumberFormat="1" applyFont="1" applyBorder="1"/>
    <xf numFmtId="173" fontId="7" fillId="0" borderId="33" xfId="0" applyNumberFormat="1" applyFont="1" applyBorder="1"/>
    <xf numFmtId="175" fontId="7" fillId="0" borderId="24" xfId="151" applyNumberFormat="1" applyFont="1" applyBorder="1"/>
    <xf numFmtId="173" fontId="7" fillId="0" borderId="50" xfId="0" applyNumberFormat="1" applyFont="1" applyBorder="1"/>
    <xf numFmtId="173" fontId="7" fillId="0" borderId="39" xfId="0" applyNumberFormat="1" applyFont="1" applyBorder="1"/>
    <xf numFmtId="173" fontId="7" fillId="0" borderId="25" xfId="0" applyNumberFormat="1" applyFont="1" applyBorder="1"/>
    <xf numFmtId="175" fontId="7" fillId="0" borderId="23" xfId="151" applyNumberFormat="1" applyFont="1" applyBorder="1"/>
    <xf numFmtId="173" fontId="7" fillId="0" borderId="53" xfId="0" applyNumberFormat="1" applyFont="1" applyBorder="1"/>
    <xf numFmtId="173" fontId="7" fillId="25" borderId="22" xfId="0" applyNumberFormat="1" applyFont="1" applyFill="1" applyBorder="1"/>
    <xf numFmtId="173" fontId="7" fillId="25" borderId="24" xfId="0" applyNumberFormat="1" applyFont="1" applyFill="1" applyBorder="1"/>
    <xf numFmtId="175" fontId="7" fillId="25" borderId="22" xfId="151" applyNumberFormat="1" applyFont="1" applyFill="1" applyBorder="1"/>
    <xf numFmtId="175" fontId="7" fillId="25" borderId="24" xfId="151" applyNumberFormat="1" applyFont="1" applyFill="1" applyBorder="1"/>
    <xf numFmtId="0" fontId="7" fillId="0" borderId="33" xfId="0" applyFont="1" applyBorder="1" applyAlignment="1">
      <alignment horizontal="center" vertical="center"/>
    </xf>
    <xf numFmtId="0" fontId="7" fillId="0" borderId="50" xfId="0" applyFont="1" applyBorder="1" applyAlignment="1">
      <alignment horizontal="center" vertical="center"/>
    </xf>
    <xf numFmtId="0" fontId="8" fillId="0" borderId="11" xfId="0" applyFont="1" applyBorder="1" applyAlignment="1">
      <alignment horizontal="left" vertical="center"/>
    </xf>
    <xf numFmtId="174" fontId="7" fillId="0" borderId="19" xfId="0" applyNumberFormat="1" applyFont="1" applyBorder="1"/>
    <xf numFmtId="0" fontId="8" fillId="0" borderId="53" xfId="0" applyFont="1" applyBorder="1" applyAlignment="1">
      <alignment horizontal="center"/>
    </xf>
    <xf numFmtId="9" fontId="8" fillId="0" borderId="22" xfId="151" applyFont="1" applyBorder="1" applyAlignment="1">
      <alignment horizontal="center" vertical="center" wrapText="1"/>
    </xf>
    <xf numFmtId="0" fontId="8" fillId="0" borderId="21" xfId="0" applyFont="1" applyBorder="1" applyAlignment="1">
      <alignment horizontal="centerContinuous" vertical="center" wrapText="1"/>
    </xf>
    <xf numFmtId="0" fontId="8" fillId="0" borderId="44" xfId="0" applyFont="1" applyBorder="1" applyAlignment="1">
      <alignment horizontal="centerContinuous" vertical="center" wrapText="1"/>
    </xf>
    <xf numFmtId="0" fontId="8" fillId="0" borderId="48" xfId="0" applyFont="1" applyBorder="1" applyAlignment="1">
      <alignment horizontal="centerContinuous" vertical="center" wrapText="1"/>
    </xf>
    <xf numFmtId="0" fontId="7" fillId="0" borderId="54" xfId="0" applyFont="1" applyBorder="1" applyAlignment="1">
      <alignment horizontal="left" indent="1"/>
    </xf>
    <xf numFmtId="0" fontId="7" fillId="0" borderId="55" xfId="0" applyFont="1" applyBorder="1" applyAlignment="1">
      <alignment horizontal="center"/>
    </xf>
    <xf numFmtId="174" fontId="8" fillId="0" borderId="50" xfId="0" applyNumberFormat="1" applyFont="1" applyBorder="1"/>
    <xf numFmtId="174" fontId="8" fillId="0" borderId="56" xfId="0" applyNumberFormat="1" applyFont="1" applyBorder="1"/>
    <xf numFmtId="0" fontId="7" fillId="0" borderId="38" xfId="0" applyFont="1" applyBorder="1" applyAlignment="1">
      <alignment horizontal="center"/>
    </xf>
    <xf numFmtId="0" fontId="8" fillId="0" borderId="26" xfId="0" applyFont="1" applyBorder="1" applyAlignment="1">
      <alignment horizontal="center"/>
    </xf>
    <xf numFmtId="0" fontId="8" fillId="0" borderId="22" xfId="0" applyFont="1" applyBorder="1" applyAlignment="1">
      <alignment horizontal="center"/>
    </xf>
    <xf numFmtId="0" fontId="8" fillId="0" borderId="46" xfId="0" applyFont="1" applyBorder="1" applyAlignment="1">
      <alignment horizontal="center"/>
    </xf>
    <xf numFmtId="0" fontId="7" fillId="0" borderId="33" xfId="0" applyFont="1" applyBorder="1"/>
    <xf numFmtId="0" fontId="7" fillId="0" borderId="24" xfId="0" applyFont="1" applyBorder="1"/>
    <xf numFmtId="9" fontId="8" fillId="0" borderId="24" xfId="151" applyFont="1" applyBorder="1" applyAlignment="1">
      <alignment horizontal="center" vertical="center"/>
    </xf>
    <xf numFmtId="174" fontId="8" fillId="0" borderId="55" xfId="0" applyNumberFormat="1" applyFont="1" applyBorder="1"/>
    <xf numFmtId="174" fontId="8" fillId="0" borderId="19" xfId="0" applyNumberFormat="1" applyFont="1" applyBorder="1"/>
    <xf numFmtId="0" fontId="8" fillId="0" borderId="57" xfId="0" applyFont="1" applyBorder="1" applyAlignment="1">
      <alignment horizontal="centerContinuous" vertical="center" wrapText="1"/>
    </xf>
    <xf numFmtId="0" fontId="7" fillId="0" borderId="58" xfId="0" applyFont="1" applyBorder="1"/>
    <xf numFmtId="0" fontId="7" fillId="0" borderId="59" xfId="0" applyFont="1" applyBorder="1" applyAlignment="1">
      <alignment horizontal="left" indent="1"/>
    </xf>
    <xf numFmtId="0" fontId="7" fillId="0" borderId="54" xfId="0" applyFont="1" applyBorder="1" applyAlignment="1">
      <alignment horizontal="center"/>
    </xf>
    <xf numFmtId="174" fontId="7" fillId="0" borderId="54" xfId="0" applyNumberFormat="1" applyFont="1" applyBorder="1"/>
    <xf numFmtId="0" fontId="8" fillId="0" borderId="11" xfId="0" applyFont="1" applyBorder="1" applyAlignment="1">
      <alignment vertical="top" wrapText="1"/>
    </xf>
    <xf numFmtId="0" fontId="7" fillId="0" borderId="10" xfId="0" applyFont="1" applyBorder="1" applyAlignment="1">
      <alignment horizontal="center" vertical="top"/>
    </xf>
    <xf numFmtId="174" fontId="8" fillId="0" borderId="10" xfId="0" applyNumberFormat="1" applyFont="1" applyBorder="1" applyAlignment="1">
      <alignment vertical="top"/>
    </xf>
    <xf numFmtId="174" fontId="8" fillId="0" borderId="26" xfId="0" applyNumberFormat="1" applyFont="1" applyBorder="1" applyAlignment="1">
      <alignment vertical="top"/>
    </xf>
    <xf numFmtId="174" fontId="8" fillId="0" borderId="22" xfId="0" applyNumberFormat="1" applyFont="1" applyBorder="1" applyAlignment="1">
      <alignment vertical="top"/>
    </xf>
    <xf numFmtId="174" fontId="8" fillId="0" borderId="46" xfId="0" applyNumberFormat="1" applyFont="1" applyBorder="1" applyAlignment="1">
      <alignment vertical="top"/>
    </xf>
    <xf numFmtId="0" fontId="7" fillId="0" borderId="59" xfId="0" applyFont="1" applyBorder="1" applyAlignment="1">
      <alignment horizontal="left" wrapText="1" indent="1"/>
    </xf>
    <xf numFmtId="0" fontId="8" fillId="0" borderId="60" xfId="0" applyFont="1" applyBorder="1" applyAlignment="1">
      <alignment horizontal="center" vertical="center" wrapText="1"/>
    </xf>
    <xf numFmtId="174" fontId="7" fillId="0" borderId="45" xfId="0" applyNumberFormat="1" applyFont="1" applyBorder="1"/>
    <xf numFmtId="174" fontId="8" fillId="0" borderId="45" xfId="0" applyNumberFormat="1" applyFont="1" applyBorder="1"/>
    <xf numFmtId="174" fontId="8" fillId="0" borderId="61" xfId="0" applyNumberFormat="1" applyFont="1" applyBorder="1"/>
    <xf numFmtId="174" fontId="7" fillId="0" borderId="55" xfId="0" applyNumberFormat="1" applyFont="1" applyBorder="1"/>
    <xf numFmtId="174" fontId="7" fillId="0" borderId="61" xfId="0" applyNumberFormat="1" applyFont="1" applyBorder="1"/>
    <xf numFmtId="174" fontId="7" fillId="0" borderId="47" xfId="0" applyNumberFormat="1" applyFont="1" applyBorder="1"/>
    <xf numFmtId="174" fontId="8" fillId="0" borderId="58" xfId="0" applyNumberFormat="1" applyFont="1" applyBorder="1"/>
    <xf numFmtId="171" fontId="7" fillId="0" borderId="46" xfId="0" applyNumberFormat="1" applyFont="1" applyBorder="1"/>
    <xf numFmtId="0" fontId="8" fillId="0" borderId="15" xfId="0" applyFont="1" applyBorder="1" applyAlignment="1">
      <alignment horizontal="center" vertical="center" wrapText="1"/>
    </xf>
    <xf numFmtId="174" fontId="8" fillId="0" borderId="62" xfId="0" applyNumberFormat="1" applyFont="1" applyBorder="1"/>
    <xf numFmtId="0" fontId="8" fillId="0" borderId="15" xfId="0" applyFont="1" applyBorder="1"/>
    <xf numFmtId="174" fontId="7" fillId="25" borderId="22" xfId="0" applyNumberFormat="1" applyFont="1" applyFill="1" applyBorder="1"/>
    <xf numFmtId="174" fontId="7" fillId="25" borderId="24" xfId="0" applyNumberFormat="1" applyFont="1" applyFill="1" applyBorder="1"/>
    <xf numFmtId="170" fontId="7" fillId="0" borderId="46" xfId="151" applyNumberFormat="1" applyFont="1" applyBorder="1" applyAlignment="1">
      <alignment horizontal="center" vertical="top" wrapText="1"/>
    </xf>
    <xf numFmtId="0" fontId="7" fillId="0" borderId="16" xfId="0" applyFont="1" applyBorder="1" applyAlignment="1">
      <alignment horizontal="left" vertical="top" wrapText="1" indent="1"/>
    </xf>
    <xf numFmtId="9" fontId="7" fillId="0" borderId="23" xfId="0" applyNumberFormat="1" applyFont="1" applyBorder="1" applyAlignment="1">
      <alignment horizontal="center" vertical="top"/>
    </xf>
    <xf numFmtId="9" fontId="7" fillId="0" borderId="53" xfId="0" applyNumberFormat="1" applyFont="1" applyBorder="1" applyAlignment="1">
      <alignment horizontal="center" vertical="top"/>
    </xf>
    <xf numFmtId="0" fontId="10" fillId="0" borderId="11" xfId="0" applyFont="1" applyBorder="1" applyAlignment="1">
      <alignment horizontal="left" vertical="top"/>
    </xf>
    <xf numFmtId="0" fontId="10" fillId="0" borderId="10" xfId="0" applyFont="1" applyBorder="1" applyAlignment="1">
      <alignment horizontal="left" vertical="top" wrapText="1"/>
    </xf>
    <xf numFmtId="0" fontId="8" fillId="0" borderId="38" xfId="0" applyFont="1" applyBorder="1" applyAlignment="1">
      <alignment horizontal="center"/>
    </xf>
    <xf numFmtId="0" fontId="7" fillId="0" borderId="37" xfId="0" applyFont="1" applyBorder="1"/>
    <xf numFmtId="0" fontId="7" fillId="0" borderId="45" xfId="0" applyFont="1" applyBorder="1"/>
    <xf numFmtId="175" fontId="7" fillId="0" borderId="0" xfId="151" applyNumberFormat="1" applyFont="1"/>
    <xf numFmtId="174" fontId="8" fillId="25" borderId="29" xfId="0" applyNumberFormat="1" applyFont="1" applyFill="1" applyBorder="1"/>
    <xf numFmtId="170" fontId="8" fillId="0" borderId="29" xfId="151" applyNumberFormat="1" applyFont="1" applyBorder="1" applyAlignment="1">
      <alignment horizontal="center" vertical="top" wrapText="1"/>
    </xf>
    <xf numFmtId="0" fontId="8" fillId="0" borderId="59" xfId="0" applyFont="1" applyBorder="1" applyAlignment="1">
      <alignment horizontal="left" vertical="center"/>
    </xf>
    <xf numFmtId="0" fontId="7" fillId="0" borderId="54" xfId="0" applyFont="1" applyBorder="1" applyAlignment="1">
      <alignment horizontal="center" vertical="center"/>
    </xf>
    <xf numFmtId="0" fontId="7" fillId="0" borderId="63" xfId="0" applyFont="1" applyBorder="1"/>
    <xf numFmtId="0" fontId="7" fillId="0" borderId="36" xfId="0" applyFont="1" applyBorder="1"/>
    <xf numFmtId="0" fontId="7" fillId="0" borderId="36" xfId="0" applyFont="1" applyBorder="1" applyAlignment="1">
      <alignment horizontal="center" vertical="center"/>
    </xf>
    <xf numFmtId="9" fontId="8" fillId="0" borderId="36" xfId="151" applyFont="1" applyBorder="1" applyAlignment="1">
      <alignment horizontal="center" vertical="center"/>
    </xf>
    <xf numFmtId="0" fontId="7" fillId="0" borderId="51" xfId="0" applyFont="1" applyBorder="1" applyAlignment="1">
      <alignment horizontal="center" vertical="center"/>
    </xf>
    <xf numFmtId="0" fontId="7" fillId="0" borderId="64" xfId="0" applyFont="1" applyBorder="1"/>
    <xf numFmtId="174" fontId="7" fillId="0" borderId="58" xfId="0" applyNumberFormat="1" applyFont="1" applyBorder="1"/>
    <xf numFmtId="171" fontId="8" fillId="0" borderId="26" xfId="0" applyNumberFormat="1" applyFont="1" applyBorder="1"/>
    <xf numFmtId="171" fontId="8" fillId="0" borderId="22" xfId="0" applyNumberFormat="1" applyFont="1" applyBorder="1"/>
    <xf numFmtId="171" fontId="8" fillId="0" borderId="46" xfId="0" applyNumberFormat="1" applyFont="1" applyBorder="1"/>
    <xf numFmtId="170" fontId="8" fillId="0" borderId="22" xfId="151" applyNumberFormat="1" applyFont="1" applyBorder="1" applyAlignment="1">
      <alignment horizontal="center" vertical="top" wrapText="1"/>
    </xf>
    <xf numFmtId="170" fontId="8" fillId="0" borderId="31" xfId="151" applyNumberFormat="1" applyFont="1" applyBorder="1" applyAlignment="1">
      <alignment horizontal="center" vertical="top" wrapText="1"/>
    </xf>
    <xf numFmtId="174" fontId="7" fillId="0" borderId="30" xfId="0" applyNumberFormat="1" applyFont="1" applyBorder="1"/>
    <xf numFmtId="174" fontId="7" fillId="0" borderId="29" xfId="0" applyNumberFormat="1" applyFont="1" applyBorder="1"/>
    <xf numFmtId="170" fontId="7" fillId="0" borderId="29" xfId="151" applyNumberFormat="1" applyFont="1" applyBorder="1" applyAlignment="1">
      <alignment horizontal="center" vertical="top" wrapText="1"/>
    </xf>
    <xf numFmtId="174" fontId="7" fillId="0" borderId="56" xfId="0" applyNumberFormat="1" applyFont="1" applyBorder="1"/>
    <xf numFmtId="0" fontId="7" fillId="0" borderId="65" xfId="0" applyFont="1" applyBorder="1" applyAlignment="1">
      <alignment horizontal="center"/>
    </xf>
    <xf numFmtId="9" fontId="8" fillId="0" borderId="26" xfId="151" applyFont="1" applyBorder="1" applyAlignment="1">
      <alignment horizontal="center"/>
    </xf>
    <xf numFmtId="9" fontId="8" fillId="0" borderId="46" xfId="151" applyFont="1" applyBorder="1" applyAlignment="1">
      <alignment horizontal="center"/>
    </xf>
    <xf numFmtId="170" fontId="8" fillId="0" borderId="46" xfId="151" applyNumberFormat="1" applyFont="1" applyBorder="1" applyAlignment="1">
      <alignment horizontal="center" vertical="top" wrapText="1"/>
    </xf>
    <xf numFmtId="0" fontId="8" fillId="0" borderId="66" xfId="0" applyFont="1" applyBorder="1"/>
    <xf numFmtId="0" fontId="8" fillId="0" borderId="11" xfId="0" applyFont="1" applyBorder="1" applyAlignment="1">
      <alignment vertical="center" wrapText="1"/>
    </xf>
    <xf numFmtId="0" fontId="8" fillId="0" borderId="37" xfId="0" applyFont="1" applyBorder="1" applyAlignment="1">
      <alignment horizontal="center"/>
    </xf>
    <xf numFmtId="174" fontId="7" fillId="0" borderId="67" xfId="0" applyNumberFormat="1" applyFont="1" applyBorder="1"/>
    <xf numFmtId="171" fontId="8" fillId="0" borderId="55" xfId="0" applyNumberFormat="1" applyFont="1" applyBorder="1"/>
    <xf numFmtId="174" fontId="8" fillId="0" borderId="68" xfId="0" applyNumberFormat="1" applyFont="1" applyBorder="1"/>
    <xf numFmtId="0" fontId="11" fillId="0" borderId="11" xfId="0" quotePrefix="1" applyFont="1" applyBorder="1" applyAlignment="1">
      <alignment horizontal="left"/>
    </xf>
    <xf numFmtId="170" fontId="7" fillId="0" borderId="36" xfId="151" applyNumberFormat="1" applyFont="1" applyBorder="1" applyAlignment="1">
      <alignment horizontal="center" vertical="top" wrapText="1"/>
    </xf>
    <xf numFmtId="0" fontId="8" fillId="0" borderId="65" xfId="0" applyFont="1" applyBorder="1" applyAlignment="1">
      <alignment horizontal="center" vertical="center" wrapText="1"/>
    </xf>
    <xf numFmtId="174" fontId="8" fillId="25" borderId="22" xfId="0" applyNumberFormat="1" applyFont="1" applyFill="1" applyBorder="1"/>
    <xf numFmtId="174" fontId="7" fillId="25" borderId="36" xfId="0" applyNumberFormat="1" applyFont="1" applyFill="1" applyBorder="1"/>
    <xf numFmtId="174" fontId="8" fillId="25" borderId="22" xfId="0" applyNumberFormat="1" applyFont="1" applyFill="1" applyBorder="1" applyAlignment="1">
      <alignment vertical="top"/>
    </xf>
    <xf numFmtId="9" fontId="8" fillId="0" borderId="31" xfId="151" applyFont="1" applyBorder="1" applyAlignment="1">
      <alignment horizontal="center"/>
    </xf>
    <xf numFmtId="9" fontId="8" fillId="0" borderId="29" xfId="151" applyFont="1" applyBorder="1" applyAlignment="1">
      <alignment horizontal="center"/>
    </xf>
    <xf numFmtId="9" fontId="8" fillId="0" borderId="24" xfId="151" applyFont="1" applyBorder="1" applyAlignment="1">
      <alignment horizontal="center"/>
    </xf>
    <xf numFmtId="174" fontId="8" fillId="25" borderId="24" xfId="0" applyNumberFormat="1" applyFont="1" applyFill="1" applyBorder="1"/>
    <xf numFmtId="9" fontId="7" fillId="0" borderId="36" xfId="151" applyFont="1" applyBorder="1" applyAlignment="1">
      <alignment horizontal="center"/>
    </xf>
    <xf numFmtId="0" fontId="7" fillId="0" borderId="12" xfId="0" applyFont="1" applyBorder="1"/>
    <xf numFmtId="0" fontId="7" fillId="0" borderId="14" xfId="0" applyFont="1" applyBorder="1"/>
    <xf numFmtId="0" fontId="13" fillId="0" borderId="15" xfId="0" applyFont="1" applyBorder="1"/>
    <xf numFmtId="0" fontId="7" fillId="0" borderId="69" xfId="0" applyFont="1" applyBorder="1"/>
    <xf numFmtId="2" fontId="7" fillId="0" borderId="0" xfId="0" applyNumberFormat="1" applyFont="1"/>
    <xf numFmtId="0" fontId="8" fillId="0" borderId="11" xfId="0" quotePrefix="1" applyFont="1" applyBorder="1" applyAlignment="1">
      <alignment horizontal="left" indent="1"/>
    </xf>
    <xf numFmtId="170" fontId="8" fillId="0" borderId="22" xfId="151" applyNumberFormat="1" applyFont="1" applyBorder="1" applyAlignment="1">
      <alignment horizontal="center" wrapText="1"/>
    </xf>
    <xf numFmtId="9" fontId="8" fillId="0" borderId="22" xfId="151" applyFont="1" applyBorder="1" applyAlignment="1">
      <alignment horizontal="center" vertical="top" wrapText="1"/>
    </xf>
    <xf numFmtId="0" fontId="6" fillId="0" borderId="14" xfId="0" applyFont="1" applyBorder="1"/>
    <xf numFmtId="0" fontId="8" fillId="0" borderId="10" xfId="0" applyFont="1" applyBorder="1" applyAlignment="1">
      <alignment wrapText="1"/>
    </xf>
    <xf numFmtId="0" fontId="7" fillId="0" borderId="10" xfId="0" applyFont="1" applyBorder="1" applyAlignment="1">
      <alignment horizontal="left" wrapText="1" indent="1"/>
    </xf>
    <xf numFmtId="0" fontId="8" fillId="0" borderId="19" xfId="0" applyFont="1" applyBorder="1"/>
    <xf numFmtId="0" fontId="8" fillId="0" borderId="59" xfId="0" applyFont="1" applyBorder="1"/>
    <xf numFmtId="9" fontId="8" fillId="0" borderId="54" xfId="151" applyFont="1" applyBorder="1" applyAlignment="1">
      <alignment horizontal="center"/>
    </xf>
    <xf numFmtId="9" fontId="8" fillId="0" borderId="63" xfId="151" applyFont="1" applyBorder="1" applyAlignment="1">
      <alignment horizontal="center"/>
    </xf>
    <xf numFmtId="9" fontId="8" fillId="0" borderId="36" xfId="151" applyFont="1" applyBorder="1" applyAlignment="1">
      <alignment horizontal="center"/>
    </xf>
    <xf numFmtId="9" fontId="8" fillId="0" borderId="51" xfId="151" applyFont="1" applyBorder="1" applyAlignment="1">
      <alignment horizontal="center"/>
    </xf>
    <xf numFmtId="0" fontId="8" fillId="0" borderId="39" xfId="0" applyFont="1" applyBorder="1" applyAlignment="1">
      <alignment horizontal="center" vertical="center"/>
    </xf>
    <xf numFmtId="174" fontId="7" fillId="0" borderId="14" xfId="0" applyNumberFormat="1" applyFont="1" applyBorder="1"/>
    <xf numFmtId="174" fontId="7" fillId="0" borderId="17" xfId="0" applyNumberFormat="1" applyFont="1" applyBorder="1"/>
    <xf numFmtId="0" fontId="8" fillId="0" borderId="70" xfId="0" applyFont="1" applyBorder="1"/>
    <xf numFmtId="0" fontId="8" fillId="0" borderId="18" xfId="0" applyFont="1" applyBorder="1"/>
    <xf numFmtId="0" fontId="7" fillId="0" borderId="15" xfId="0" applyFont="1" applyBorder="1"/>
    <xf numFmtId="174" fontId="7" fillId="0" borderId="12" xfId="0" applyNumberFormat="1" applyFont="1" applyBorder="1"/>
    <xf numFmtId="174" fontId="7" fillId="0" borderId="69" xfId="0" applyNumberFormat="1" applyFont="1" applyBorder="1"/>
    <xf numFmtId="0" fontId="7" fillId="0" borderId="70" xfId="0" applyFont="1" applyBorder="1"/>
    <xf numFmtId="0" fontId="7" fillId="0" borderId="18" xfId="0" applyFont="1" applyBorder="1"/>
    <xf numFmtId="0" fontId="6" fillId="0" borderId="15" xfId="0" applyFont="1" applyBorder="1"/>
    <xf numFmtId="0" fontId="6" fillId="0" borderId="66" xfId="0" applyFont="1" applyBorder="1"/>
    <xf numFmtId="0" fontId="8" fillId="0" borderId="71" xfId="0" applyFont="1" applyBorder="1" applyAlignment="1">
      <alignment horizontal="center"/>
    </xf>
    <xf numFmtId="174" fontId="8" fillId="0" borderId="18" xfId="0" applyNumberFormat="1" applyFont="1" applyBorder="1"/>
    <xf numFmtId="0" fontId="4" fillId="24" borderId="70" xfId="0" applyFont="1" applyFill="1" applyBorder="1" applyAlignment="1">
      <alignment horizontal="center"/>
    </xf>
    <xf numFmtId="0" fontId="4" fillId="0" borderId="0" xfId="0" applyFont="1"/>
    <xf numFmtId="0" fontId="15" fillId="26" borderId="15" xfId="0" applyFont="1" applyFill="1" applyBorder="1"/>
    <xf numFmtId="0" fontId="15" fillId="26" borderId="12" xfId="0" applyFont="1" applyFill="1" applyBorder="1" applyAlignment="1">
      <alignment horizontal="left"/>
    </xf>
    <xf numFmtId="0" fontId="15" fillId="26" borderId="39" xfId="0" applyFont="1" applyFill="1" applyBorder="1" applyAlignment="1">
      <alignment horizontal="left"/>
    </xf>
    <xf numFmtId="0" fontId="15" fillId="26" borderId="15" xfId="0" applyFont="1" applyFill="1" applyBorder="1" applyAlignment="1">
      <alignment horizontal="left"/>
    </xf>
    <xf numFmtId="0" fontId="4" fillId="27" borderId="0" xfId="0" applyFont="1" applyFill="1"/>
    <xf numFmtId="0" fontId="3" fillId="0" borderId="10" xfId="0" applyFont="1" applyBorder="1"/>
    <xf numFmtId="0" fontId="16" fillId="0" borderId="0" xfId="0" applyFont="1"/>
    <xf numFmtId="17" fontId="3" fillId="0" borderId="10" xfId="0" quotePrefix="1" applyNumberFormat="1" applyFont="1" applyBorder="1"/>
    <xf numFmtId="0" fontId="3" fillId="0" borderId="10" xfId="0" quotePrefix="1" applyFont="1" applyBorder="1"/>
    <xf numFmtId="175" fontId="8" fillId="0" borderId="36" xfId="151" applyNumberFormat="1" applyFont="1" applyBorder="1"/>
    <xf numFmtId="174" fontId="7" fillId="28" borderId="26" xfId="0" applyNumberFormat="1" applyFont="1" applyFill="1" applyBorder="1" applyProtection="1">
      <protection locked="0"/>
    </xf>
    <xf numFmtId="174" fontId="7" fillId="28" borderId="22" xfId="0" applyNumberFormat="1" applyFont="1" applyFill="1" applyBorder="1" applyProtection="1">
      <protection locked="0"/>
    </xf>
    <xf numFmtId="9" fontId="7" fillId="0" borderId="39" xfId="0" applyNumberFormat="1" applyFont="1" applyBorder="1" applyAlignment="1" applyProtection="1">
      <alignment horizontal="center" vertical="top"/>
      <protection locked="0"/>
    </xf>
    <xf numFmtId="174" fontId="7" fillId="28" borderId="37" xfId="0" applyNumberFormat="1" applyFont="1" applyFill="1" applyBorder="1" applyProtection="1">
      <protection locked="0"/>
    </xf>
    <xf numFmtId="174" fontId="7" fillId="28" borderId="13" xfId="0" applyNumberFormat="1" applyFont="1" applyFill="1" applyBorder="1" applyProtection="1">
      <protection locked="0"/>
    </xf>
    <xf numFmtId="0" fontId="7" fillId="0" borderId="11" xfId="0" quotePrefix="1" applyFont="1" applyBorder="1" applyAlignment="1">
      <alignment horizontal="left" indent="2"/>
    </xf>
    <xf numFmtId="0" fontId="11" fillId="0" borderId="11" xfId="0" quotePrefix="1" applyFont="1" applyBorder="1" applyAlignment="1">
      <alignment horizontal="left" indent="2"/>
    </xf>
    <xf numFmtId="9" fontId="8" fillId="25" borderId="10" xfId="151" applyFont="1" applyFill="1" applyBorder="1" applyAlignment="1">
      <alignment horizontal="center"/>
    </xf>
    <xf numFmtId="171" fontId="7" fillId="25" borderId="10" xfId="0" applyNumberFormat="1" applyFont="1" applyFill="1" applyBorder="1"/>
    <xf numFmtId="170" fontId="8" fillId="25" borderId="22" xfId="151" applyNumberFormat="1" applyFont="1" applyFill="1" applyBorder="1" applyAlignment="1">
      <alignment horizontal="center" vertical="top" wrapText="1"/>
    </xf>
    <xf numFmtId="171" fontId="7" fillId="25" borderId="22" xfId="0" applyNumberFormat="1" applyFont="1" applyFill="1" applyBorder="1"/>
    <xf numFmtId="9" fontId="8" fillId="25" borderId="22" xfId="151" applyFont="1" applyFill="1" applyBorder="1" applyAlignment="1">
      <alignment horizontal="center" vertical="top" wrapText="1"/>
    </xf>
    <xf numFmtId="9" fontId="7" fillId="25" borderId="22" xfId="151" applyFont="1" applyFill="1" applyBorder="1" applyAlignment="1">
      <alignment horizontal="center"/>
    </xf>
    <xf numFmtId="0" fontId="6" fillId="0" borderId="0" xfId="0" applyFont="1"/>
    <xf numFmtId="170" fontId="8" fillId="25" borderId="24" xfId="151" applyNumberFormat="1" applyFont="1" applyFill="1" applyBorder="1" applyAlignment="1">
      <alignment horizontal="center" vertical="top" wrapText="1"/>
    </xf>
    <xf numFmtId="0" fontId="3" fillId="0" borderId="0" xfId="0" applyFont="1" applyAlignment="1">
      <alignment horizontal="left"/>
    </xf>
    <xf numFmtId="0" fontId="8" fillId="0" borderId="24" xfId="0" applyFont="1" applyBorder="1" applyAlignment="1">
      <alignment horizontal="center" vertical="top" wrapText="1"/>
    </xf>
    <xf numFmtId="0" fontId="9" fillId="0" borderId="11" xfId="0" applyFont="1" applyBorder="1" applyAlignment="1">
      <alignment horizontal="left" indent="1"/>
    </xf>
    <xf numFmtId="0" fontId="7" fillId="0" borderId="22" xfId="0" applyFont="1" applyBorder="1" applyAlignment="1">
      <alignment horizontal="center"/>
    </xf>
    <xf numFmtId="0" fontId="7" fillId="0" borderId="50" xfId="0" applyFont="1" applyBorder="1" applyAlignment="1">
      <alignment horizontal="center"/>
    </xf>
    <xf numFmtId="0" fontId="7" fillId="0" borderId="46" xfId="0" applyFont="1" applyBorder="1" applyAlignment="1">
      <alignment horizontal="center"/>
    </xf>
    <xf numFmtId="0" fontId="13" fillId="0" borderId="46" xfId="0" applyFont="1" applyBorder="1" applyAlignment="1">
      <alignment horizontal="center"/>
    </xf>
    <xf numFmtId="0" fontId="8" fillId="0" borderId="47" xfId="0" applyFont="1" applyBorder="1" applyAlignment="1">
      <alignment horizontal="center"/>
    </xf>
    <xf numFmtId="0" fontId="7" fillId="0" borderId="17" xfId="0" applyFont="1" applyBorder="1" applyAlignment="1">
      <alignment horizontal="center" vertical="center"/>
    </xf>
    <xf numFmtId="0" fontId="8" fillId="0" borderId="13" xfId="0" applyFont="1" applyBorder="1" applyAlignment="1">
      <alignment horizontal="center"/>
    </xf>
    <xf numFmtId="0" fontId="7" fillId="0" borderId="24" xfId="0" applyFont="1" applyBorder="1" applyAlignment="1">
      <alignment horizontal="center"/>
    </xf>
    <xf numFmtId="0" fontId="13" fillId="0" borderId="22" xfId="0" applyFont="1" applyBorder="1" applyAlignment="1">
      <alignment horizontal="center"/>
    </xf>
    <xf numFmtId="0" fontId="8" fillId="0" borderId="24" xfId="0" applyFont="1" applyBorder="1" applyAlignment="1">
      <alignment horizontal="center"/>
    </xf>
    <xf numFmtId="174" fontId="8" fillId="0" borderId="43" xfId="0" applyNumberFormat="1" applyFont="1" applyBorder="1"/>
    <xf numFmtId="9" fontId="8" fillId="0" borderId="43" xfId="151" applyFont="1" applyBorder="1" applyAlignment="1">
      <alignment horizontal="center"/>
    </xf>
    <xf numFmtId="0" fontId="8" fillId="0" borderId="45" xfId="0" applyFont="1" applyBorder="1" applyAlignment="1">
      <alignment horizontal="center"/>
    </xf>
    <xf numFmtId="0" fontId="17" fillId="0" borderId="0" xfId="0" applyFont="1"/>
    <xf numFmtId="0" fontId="8" fillId="0" borderId="25"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2" xfId="0" applyFont="1" applyBorder="1" applyAlignment="1" applyProtection="1">
      <alignment horizontal="center"/>
      <protection locked="0"/>
    </xf>
    <xf numFmtId="174" fontId="8" fillId="0" borderId="22" xfId="0" applyNumberFormat="1" applyFont="1" applyBorder="1" applyAlignment="1">
      <alignment horizontal="right"/>
    </xf>
    <xf numFmtId="174" fontId="8" fillId="0" borderId="13" xfId="0" applyNumberFormat="1" applyFont="1" applyBorder="1" applyAlignment="1">
      <alignment horizontal="right"/>
    </xf>
    <xf numFmtId="174" fontId="8" fillId="0" borderId="0" xfId="0" applyNumberFormat="1" applyFont="1" applyAlignment="1">
      <alignment horizontal="right"/>
    </xf>
    <xf numFmtId="174" fontId="8" fillId="0" borderId="26" xfId="0" applyNumberFormat="1" applyFont="1" applyBorder="1" applyAlignment="1">
      <alignment horizontal="right"/>
    </xf>
    <xf numFmtId="0" fontId="7" fillId="0" borderId="22" xfId="0" applyFont="1" applyBorder="1" applyAlignment="1" applyProtection="1">
      <alignment horizontal="center"/>
      <protection locked="0"/>
    </xf>
    <xf numFmtId="174" fontId="8" fillId="0" borderId="43" xfId="0" applyNumberFormat="1" applyFont="1" applyBorder="1" applyAlignment="1">
      <alignment horizontal="right"/>
    </xf>
    <xf numFmtId="174" fontId="8" fillId="0" borderId="72" xfId="0" applyNumberFormat="1" applyFont="1" applyBorder="1" applyAlignment="1">
      <alignment horizontal="right"/>
    </xf>
    <xf numFmtId="174" fontId="8" fillId="0" borderId="73" xfId="0" applyNumberFormat="1" applyFont="1" applyBorder="1" applyAlignment="1">
      <alignment horizontal="right"/>
    </xf>
    <xf numFmtId="174" fontId="8" fillId="0" borderId="52" xfId="0" applyNumberFormat="1" applyFont="1" applyBorder="1" applyAlignment="1">
      <alignment horizontal="right"/>
    </xf>
    <xf numFmtId="171" fontId="8" fillId="0" borderId="18" xfId="0" applyNumberFormat="1" applyFont="1" applyBorder="1"/>
    <xf numFmtId="171" fontId="8" fillId="0" borderId="71" xfId="0" applyNumberFormat="1" applyFont="1" applyBorder="1"/>
    <xf numFmtId="0" fontId="7" fillId="0" borderId="23" xfId="0" applyFont="1" applyBorder="1" applyAlignment="1">
      <alignment horizontal="center"/>
    </xf>
    <xf numFmtId="174" fontId="7" fillId="0" borderId="23" xfId="0" applyNumberFormat="1" applyFont="1" applyBorder="1"/>
    <xf numFmtId="174" fontId="7" fillId="0" borderId="25" xfId="0" applyNumberFormat="1" applyFont="1" applyBorder="1"/>
    <xf numFmtId="174" fontId="7" fillId="28" borderId="0" xfId="0" applyNumberFormat="1" applyFont="1" applyFill="1" applyProtection="1">
      <protection locked="0"/>
    </xf>
    <xf numFmtId="174" fontId="8" fillId="0" borderId="73" xfId="0" applyNumberFormat="1" applyFont="1" applyBorder="1"/>
    <xf numFmtId="174" fontId="8" fillId="0" borderId="52" xfId="0" applyNumberFormat="1" applyFont="1" applyBorder="1"/>
    <xf numFmtId="171" fontId="8" fillId="0" borderId="13" xfId="0" applyNumberFormat="1" applyFont="1" applyBorder="1"/>
    <xf numFmtId="0" fontId="7" fillId="0" borderId="29" xfId="0" applyFont="1" applyBorder="1" applyAlignment="1" applyProtection="1">
      <alignment horizontal="center"/>
      <protection locked="0"/>
    </xf>
    <xf numFmtId="174" fontId="8" fillId="0" borderId="74" xfId="0" applyNumberFormat="1" applyFont="1" applyBorder="1"/>
    <xf numFmtId="171" fontId="8" fillId="0" borderId="75" xfId="0" applyNumberFormat="1" applyFont="1" applyBorder="1"/>
    <xf numFmtId="171" fontId="8" fillId="0" borderId="76" xfId="0" applyNumberFormat="1" applyFont="1" applyBorder="1"/>
    <xf numFmtId="0" fontId="7" fillId="0" borderId="0" xfId="0" applyFont="1" applyAlignment="1" applyProtection="1">
      <alignment horizontal="center"/>
      <protection locked="0"/>
    </xf>
    <xf numFmtId="0" fontId="11" fillId="0" borderId="0" xfId="0" applyFont="1" applyProtection="1">
      <protection locked="0"/>
    </xf>
    <xf numFmtId="171" fontId="8" fillId="0" borderId="0" xfId="0" applyNumberFormat="1" applyFont="1" applyProtection="1">
      <protection locked="0"/>
    </xf>
    <xf numFmtId="0" fontId="7" fillId="0" borderId="0" xfId="0" applyFont="1" applyProtection="1">
      <protection locked="0"/>
    </xf>
    <xf numFmtId="0" fontId="11" fillId="0" borderId="0" xfId="0" applyFont="1" applyAlignment="1" applyProtection="1">
      <alignment horizontal="center"/>
      <protection locked="0"/>
    </xf>
    <xf numFmtId="0" fontId="8" fillId="0" borderId="22" xfId="0" applyFont="1" applyBorder="1" applyAlignment="1">
      <alignment vertical="center"/>
    </xf>
    <xf numFmtId="0" fontId="7" fillId="0" borderId="37" xfId="0" applyFont="1" applyBorder="1" applyAlignment="1">
      <alignment horizontal="center" vertical="center"/>
    </xf>
    <xf numFmtId="0" fontId="7" fillId="0" borderId="0" xfId="0" applyFont="1" applyAlignment="1">
      <alignment horizontal="center" vertical="center"/>
    </xf>
    <xf numFmtId="0" fontId="7" fillId="0" borderId="22" xfId="0" applyFont="1" applyBorder="1" applyAlignment="1">
      <alignment horizontal="center" vertical="center"/>
    </xf>
    <xf numFmtId="9" fontId="8" fillId="0" borderId="22" xfId="151" applyFont="1" applyBorder="1" applyAlignment="1">
      <alignment horizontal="center" vertical="center"/>
    </xf>
    <xf numFmtId="0" fontId="7" fillId="0" borderId="13" xfId="0" applyFont="1" applyBorder="1" applyAlignment="1">
      <alignment horizontal="center" vertical="center"/>
    </xf>
    <xf numFmtId="174" fontId="8" fillId="0" borderId="37" xfId="0" applyNumberFormat="1" applyFont="1" applyBorder="1" applyAlignment="1">
      <alignment horizontal="right"/>
    </xf>
    <xf numFmtId="174" fontId="8" fillId="0" borderId="77" xfId="0" applyNumberFormat="1" applyFont="1" applyBorder="1" applyAlignment="1">
      <alignment horizontal="right"/>
    </xf>
    <xf numFmtId="174" fontId="7" fillId="0" borderId="78" xfId="0" applyNumberFormat="1" applyFont="1" applyBorder="1"/>
    <xf numFmtId="174" fontId="8" fillId="0" borderId="77" xfId="0" applyNumberFormat="1" applyFont="1" applyBorder="1"/>
    <xf numFmtId="0" fontId="7" fillId="0" borderId="25" xfId="0" applyFont="1" applyBorder="1"/>
    <xf numFmtId="0" fontId="7" fillId="0" borderId="23" xfId="0" applyFont="1" applyBorder="1"/>
    <xf numFmtId="174" fontId="8" fillId="0" borderId="49" xfId="0" applyNumberFormat="1" applyFont="1" applyBorder="1"/>
    <xf numFmtId="174" fontId="7" fillId="0" borderId="43" xfId="0" applyNumberFormat="1" applyFont="1" applyBorder="1"/>
    <xf numFmtId="9" fontId="7" fillId="0" borderId="43" xfId="151" applyFont="1" applyBorder="1" applyAlignment="1">
      <alignment horizontal="center"/>
    </xf>
    <xf numFmtId="174" fontId="8" fillId="0" borderId="65" xfId="0" applyNumberFormat="1" applyFont="1" applyBorder="1"/>
    <xf numFmtId="0" fontId="7" fillId="0" borderId="53" xfId="0" applyFont="1" applyBorder="1" applyAlignment="1">
      <alignment horizontal="center"/>
    </xf>
    <xf numFmtId="0" fontId="7" fillId="0" borderId="51" xfId="0" applyFont="1" applyBorder="1" applyAlignment="1">
      <alignment horizontal="center"/>
    </xf>
    <xf numFmtId="0" fontId="7" fillId="0" borderId="46" xfId="0" applyFont="1" applyBorder="1" applyAlignment="1">
      <alignment horizontal="center" vertical="top"/>
    </xf>
    <xf numFmtId="174" fontId="8" fillId="0" borderId="55" xfId="0" applyNumberFormat="1" applyFont="1" applyBorder="1" applyAlignment="1">
      <alignment vertical="top"/>
    </xf>
    <xf numFmtId="174" fontId="8" fillId="0" borderId="32" xfId="0" applyNumberFormat="1" applyFont="1" applyBorder="1" applyAlignment="1">
      <alignment vertical="top"/>
    </xf>
    <xf numFmtId="174" fontId="8" fillId="0" borderId="31" xfId="0" applyNumberFormat="1" applyFont="1" applyBorder="1" applyAlignment="1">
      <alignment vertical="top"/>
    </xf>
    <xf numFmtId="9" fontId="8" fillId="0" borderId="31" xfId="151" applyFont="1" applyBorder="1" applyAlignment="1">
      <alignment horizontal="center" vertical="top"/>
    </xf>
    <xf numFmtId="174" fontId="8" fillId="0" borderId="47" xfId="0" applyNumberFormat="1" applyFont="1" applyBorder="1" applyAlignment="1">
      <alignment vertical="top"/>
    </xf>
    <xf numFmtId="0" fontId="8" fillId="0" borderId="11" xfId="0" applyFont="1" applyBorder="1" applyAlignment="1">
      <alignment wrapText="1"/>
    </xf>
    <xf numFmtId="174" fontId="8" fillId="0" borderId="43" xfId="0" applyNumberFormat="1" applyFont="1" applyBorder="1" applyAlignment="1">
      <alignment vertical="top"/>
    </xf>
    <xf numFmtId="174" fontId="8" fillId="0" borderId="49" xfId="0" applyNumberFormat="1" applyFont="1" applyBorder="1" applyAlignment="1">
      <alignment vertical="top"/>
    </xf>
    <xf numFmtId="174" fontId="8" fillId="0" borderId="60" xfId="0" applyNumberFormat="1" applyFont="1" applyBorder="1" applyAlignment="1">
      <alignment vertical="top"/>
    </xf>
    <xf numFmtId="174" fontId="7" fillId="0" borderId="22" xfId="0" applyNumberFormat="1" applyFont="1" applyBorder="1" applyProtection="1">
      <protection locked="0"/>
    </xf>
    <xf numFmtId="174" fontId="7" fillId="0" borderId="46" xfId="0" applyNumberFormat="1" applyFont="1" applyBorder="1" applyProtection="1">
      <protection locked="0"/>
    </xf>
    <xf numFmtId="0" fontId="8" fillId="0" borderId="27" xfId="0" applyFont="1" applyBorder="1" applyAlignment="1">
      <alignment horizontal="left"/>
    </xf>
    <xf numFmtId="0" fontId="8" fillId="0" borderId="38" xfId="0" applyFont="1" applyBorder="1"/>
    <xf numFmtId="0" fontId="7" fillId="0" borderId="56" xfId="0" applyFont="1" applyBorder="1" applyAlignment="1">
      <alignment horizontal="center"/>
    </xf>
    <xf numFmtId="174" fontId="8" fillId="0" borderId="60" xfId="0" applyNumberFormat="1" applyFont="1" applyBorder="1"/>
    <xf numFmtId="0" fontId="7" fillId="0" borderId="37" xfId="0" applyFont="1" applyBorder="1" applyAlignment="1">
      <alignment horizontal="left" vertical="top" wrapText="1"/>
    </xf>
    <xf numFmtId="174" fontId="8" fillId="25" borderId="30" xfId="0" applyNumberFormat="1" applyFont="1" applyFill="1" applyBorder="1"/>
    <xf numFmtId="174" fontId="7" fillId="0" borderId="26" xfId="0" applyNumberFormat="1" applyFont="1" applyBorder="1" applyProtection="1">
      <protection locked="0"/>
    </xf>
    <xf numFmtId="170" fontId="7" fillId="0" borderId="22" xfId="151" applyNumberFormat="1" applyFont="1" applyBorder="1" applyAlignment="1" applyProtection="1">
      <alignment horizontal="center" vertical="top" wrapText="1"/>
      <protection locked="0"/>
    </xf>
    <xf numFmtId="174" fontId="7" fillId="0" borderId="43" xfId="0" applyNumberFormat="1" applyFont="1" applyBorder="1" applyProtection="1">
      <protection locked="0"/>
    </xf>
    <xf numFmtId="170" fontId="7" fillId="0" borderId="43" xfId="151" applyNumberFormat="1" applyFont="1" applyBorder="1" applyAlignment="1" applyProtection="1">
      <alignment horizontal="center" vertical="top" wrapText="1"/>
      <protection locked="0"/>
    </xf>
    <xf numFmtId="174" fontId="7" fillId="0" borderId="52" xfId="0" applyNumberFormat="1" applyFont="1" applyBorder="1" applyProtection="1">
      <protection locked="0"/>
    </xf>
    <xf numFmtId="170" fontId="7" fillId="0" borderId="43" xfId="151" applyNumberFormat="1" applyFont="1" applyBorder="1" applyAlignment="1">
      <alignment horizontal="center" vertical="top" wrapText="1"/>
    </xf>
    <xf numFmtId="170" fontId="8" fillId="0" borderId="43" xfId="151" applyNumberFormat="1" applyFont="1" applyBorder="1" applyAlignment="1">
      <alignment horizontal="center" vertical="top" wrapText="1"/>
    </xf>
    <xf numFmtId="0" fontId="7" fillId="0" borderId="59" xfId="0" applyFont="1" applyBorder="1"/>
    <xf numFmtId="174" fontId="7" fillId="0" borderId="63" xfId="0" applyNumberFormat="1" applyFont="1" applyBorder="1"/>
    <xf numFmtId="0" fontId="8" fillId="0" borderId="27" xfId="0" applyFont="1" applyBorder="1" applyAlignment="1">
      <alignment vertical="center"/>
    </xf>
    <xf numFmtId="0" fontId="8" fillId="0" borderId="40" xfId="0" applyFont="1" applyBorder="1" applyAlignment="1">
      <alignment horizontal="left"/>
    </xf>
    <xf numFmtId="0" fontId="8" fillId="0" borderId="35" xfId="0" applyFont="1" applyBorder="1" applyAlignment="1">
      <alignment vertical="center"/>
    </xf>
    <xf numFmtId="0" fontId="10" fillId="0" borderId="27" xfId="0" applyFont="1" applyBorder="1"/>
    <xf numFmtId="171" fontId="7" fillId="0" borderId="38" xfId="0" quotePrefix="1" applyNumberFormat="1" applyFont="1" applyBorder="1" applyAlignment="1">
      <alignment horizontal="center"/>
    </xf>
    <xf numFmtId="171" fontId="7" fillId="0" borderId="30" xfId="0" quotePrefix="1" applyNumberFormat="1" applyFont="1" applyBorder="1" applyAlignment="1">
      <alignment horizontal="center"/>
    </xf>
    <xf numFmtId="171" fontId="7" fillId="0" borderId="29" xfId="0" quotePrefix="1" applyNumberFormat="1" applyFont="1" applyBorder="1" applyAlignment="1">
      <alignment horizontal="center"/>
    </xf>
    <xf numFmtId="171" fontId="7" fillId="0" borderId="29" xfId="0" applyNumberFormat="1" applyFont="1" applyBorder="1" applyAlignment="1">
      <alignment horizontal="center"/>
    </xf>
    <xf numFmtId="171" fontId="7" fillId="0" borderId="56" xfId="0" quotePrefix="1" applyNumberFormat="1" applyFont="1" applyBorder="1" applyAlignment="1">
      <alignment horizontal="center"/>
    </xf>
    <xf numFmtId="0" fontId="10" fillId="0" borderId="11" xfId="0" applyFont="1" applyBorder="1" applyAlignment="1">
      <alignment horizontal="left"/>
    </xf>
    <xf numFmtId="0" fontId="8" fillId="0" borderId="27" xfId="0" applyFont="1" applyBorder="1" applyAlignment="1">
      <alignment vertical="center" wrapText="1"/>
    </xf>
    <xf numFmtId="0" fontId="8" fillId="0" borderId="54" xfId="0" applyFont="1" applyBorder="1" applyAlignment="1">
      <alignment horizontal="center"/>
    </xf>
    <xf numFmtId="0" fontId="8" fillId="0" borderId="40" xfId="0" applyFont="1" applyBorder="1" applyAlignment="1">
      <alignment wrapText="1"/>
    </xf>
    <xf numFmtId="174" fontId="7" fillId="0" borderId="65" xfId="0" applyNumberFormat="1" applyFont="1" applyBorder="1"/>
    <xf numFmtId="174" fontId="7" fillId="0" borderId="52" xfId="0" applyNumberFormat="1" applyFont="1" applyBorder="1"/>
    <xf numFmtId="174" fontId="7" fillId="0" borderId="49" xfId="0" applyNumberFormat="1" applyFont="1" applyBorder="1"/>
    <xf numFmtId="0" fontId="7" fillId="0" borderId="31" xfId="0" applyFont="1" applyBorder="1" applyAlignment="1">
      <alignment horizontal="center"/>
    </xf>
    <xf numFmtId="0" fontId="8" fillId="0" borderId="35" xfId="0" applyFont="1" applyBorder="1" applyAlignment="1">
      <alignment horizontal="left" wrapText="1"/>
    </xf>
    <xf numFmtId="0" fontId="7" fillId="0" borderId="47" xfId="0" applyFont="1" applyBorder="1" applyAlignment="1">
      <alignment horizontal="center"/>
    </xf>
    <xf numFmtId="0" fontId="0" fillId="0" borderId="0" xfId="0" applyProtection="1">
      <protection locked="0"/>
    </xf>
    <xf numFmtId="0" fontId="3" fillId="0" borderId="0" xfId="0" applyFont="1" applyProtection="1">
      <protection locked="0"/>
    </xf>
    <xf numFmtId="176" fontId="3" fillId="0" borderId="11" xfId="0" applyNumberFormat="1" applyFont="1" applyBorder="1" applyAlignment="1">
      <alignment horizontal="left"/>
    </xf>
    <xf numFmtId="175" fontId="7" fillId="0" borderId="45" xfId="151" applyNumberFormat="1" applyFont="1" applyBorder="1"/>
    <xf numFmtId="175" fontId="8" fillId="0" borderId="22" xfId="151" applyNumberFormat="1" applyFont="1" applyBorder="1" applyAlignment="1">
      <alignment vertical="top"/>
    </xf>
    <xf numFmtId="175" fontId="8" fillId="0" borderId="45" xfId="151" applyNumberFormat="1" applyFont="1" applyBorder="1" applyAlignment="1">
      <alignment vertical="top"/>
    </xf>
    <xf numFmtId="175" fontId="8" fillId="0" borderId="43" xfId="151" applyNumberFormat="1" applyFont="1" applyBorder="1"/>
    <xf numFmtId="173" fontId="8" fillId="25" borderId="22" xfId="0" applyNumberFormat="1" applyFont="1" applyFill="1" applyBorder="1"/>
    <xf numFmtId="175" fontId="8" fillId="25" borderId="22" xfId="151" applyNumberFormat="1" applyFont="1" applyFill="1" applyBorder="1"/>
    <xf numFmtId="174" fontId="8" fillId="0" borderId="79" xfId="0" applyNumberFormat="1" applyFont="1" applyBorder="1"/>
    <xf numFmtId="0" fontId="7" fillId="0" borderId="26" xfId="0" applyFont="1" applyBorder="1" applyAlignment="1">
      <alignment horizontal="left" indent="2"/>
    </xf>
    <xf numFmtId="0" fontId="7" fillId="0" borderId="29" xfId="0" applyFont="1" applyBorder="1" applyAlignment="1">
      <alignment horizontal="center"/>
    </xf>
    <xf numFmtId="167" fontId="11" fillId="0" borderId="0" xfId="79" applyNumberFormat="1" applyFont="1" applyAlignment="1">
      <alignment horizontal="right"/>
    </xf>
    <xf numFmtId="174" fontId="7" fillId="0" borderId="46" xfId="104" applyNumberFormat="1" applyFont="1" applyBorder="1"/>
    <xf numFmtId="0" fontId="4" fillId="29" borderId="71" xfId="0" applyFont="1" applyFill="1" applyBorder="1" applyAlignment="1">
      <alignment horizontal="center"/>
    </xf>
    <xf numFmtId="174" fontId="7" fillId="0" borderId="80" xfId="0" applyNumberFormat="1" applyFont="1" applyBorder="1"/>
    <xf numFmtId="174" fontId="8" fillId="0" borderId="37" xfId="0" applyNumberFormat="1" applyFont="1" applyBorder="1" applyAlignment="1">
      <alignment vertical="top"/>
    </xf>
    <xf numFmtId="174" fontId="8" fillId="0" borderId="54" xfId="0" applyNumberFormat="1" applyFont="1" applyBorder="1"/>
    <xf numFmtId="174" fontId="8" fillId="0" borderId="63" xfId="0" applyNumberFormat="1" applyFont="1" applyBorder="1"/>
    <xf numFmtId="174" fontId="8" fillId="0" borderId="36" xfId="0" applyNumberFormat="1" applyFont="1" applyBorder="1"/>
    <xf numFmtId="174" fontId="8" fillId="0" borderId="80" xfId="0" applyNumberFormat="1" applyFont="1" applyBorder="1"/>
    <xf numFmtId="174" fontId="8" fillId="0" borderId="51" xfId="0" applyNumberFormat="1" applyFont="1" applyBorder="1"/>
    <xf numFmtId="174" fontId="7" fillId="0" borderId="45" xfId="79" applyNumberFormat="1" applyFont="1" applyBorder="1"/>
    <xf numFmtId="174" fontId="7" fillId="0" borderId="22" xfId="79" applyNumberFormat="1" applyFont="1" applyBorder="1"/>
    <xf numFmtId="174" fontId="7" fillId="0" borderId="46" xfId="79" applyNumberFormat="1" applyFont="1" applyBorder="1"/>
    <xf numFmtId="9" fontId="7" fillId="0" borderId="46" xfId="151" applyFont="1" applyBorder="1" applyAlignment="1">
      <alignment horizontal="center"/>
    </xf>
    <xf numFmtId="174" fontId="7" fillId="0" borderId="46" xfId="0" applyNumberFormat="1" applyFont="1" applyBorder="1" applyAlignment="1">
      <alignment horizontal="center"/>
    </xf>
    <xf numFmtId="174" fontId="7" fillId="0" borderId="51" xfId="0" applyNumberFormat="1" applyFont="1" applyBorder="1" applyAlignment="1">
      <alignment horizontal="center"/>
    </xf>
    <xf numFmtId="0" fontId="0" fillId="28" borderId="0" xfId="0" applyFill="1" applyProtection="1">
      <protection locked="0"/>
    </xf>
    <xf numFmtId="0" fontId="14" fillId="0" borderId="0" xfId="0" applyFont="1"/>
    <xf numFmtId="49" fontId="0" fillId="28" borderId="0" xfId="0" applyNumberFormat="1" applyFill="1" applyProtection="1">
      <protection locked="0"/>
    </xf>
    <xf numFmtId="0" fontId="2" fillId="28" borderId="0" xfId="0" applyFont="1" applyFill="1" applyProtection="1">
      <protection locked="0"/>
    </xf>
    <xf numFmtId="0" fontId="35" fillId="0" borderId="14" xfId="0" applyFont="1" applyBorder="1" applyAlignment="1">
      <alignment horizontal="left"/>
    </xf>
    <xf numFmtId="0" fontId="39" fillId="0" borderId="0" xfId="0" applyFont="1"/>
    <xf numFmtId="0" fontId="8" fillId="0" borderId="38" xfId="0" applyFont="1" applyBorder="1" applyAlignment="1">
      <alignment horizontal="left"/>
    </xf>
    <xf numFmtId="0" fontId="8" fillId="24" borderId="69" xfId="0" applyFont="1" applyFill="1" applyBorder="1" applyAlignment="1">
      <alignment horizontal="center" vertical="top" wrapText="1"/>
    </xf>
    <xf numFmtId="0" fontId="8" fillId="24" borderId="39" xfId="0" applyFont="1" applyFill="1" applyBorder="1" applyAlignment="1">
      <alignment horizontal="center" vertical="top" wrapText="1"/>
    </xf>
    <xf numFmtId="0" fontId="38" fillId="0" borderId="26" xfId="0" applyFont="1" applyBorder="1" applyAlignment="1">
      <alignment horizontal="left" vertical="top" wrapText="1" indent="3"/>
    </xf>
    <xf numFmtId="0" fontId="7" fillId="0" borderId="0" xfId="0" applyFont="1" applyAlignment="1">
      <alignment horizontal="right"/>
    </xf>
    <xf numFmtId="169" fontId="7" fillId="0" borderId="0" xfId="0" applyNumberFormat="1" applyFont="1"/>
    <xf numFmtId="9" fontId="7" fillId="0" borderId="23" xfId="151" applyFont="1" applyBorder="1" applyAlignment="1">
      <alignment horizontal="center"/>
    </xf>
    <xf numFmtId="0" fontId="7" fillId="0" borderId="43" xfId="0" applyFont="1" applyBorder="1" applyAlignment="1" applyProtection="1">
      <alignment horizontal="center"/>
      <protection locked="0"/>
    </xf>
    <xf numFmtId="170" fontId="8" fillId="25" borderId="29" xfId="151" applyNumberFormat="1" applyFont="1" applyFill="1" applyBorder="1" applyAlignment="1">
      <alignment horizontal="center" vertical="top" wrapText="1"/>
    </xf>
    <xf numFmtId="170" fontId="8" fillId="0" borderId="22" xfId="0" applyNumberFormat="1" applyFont="1" applyBorder="1" applyAlignment="1">
      <alignment horizontal="center"/>
    </xf>
    <xf numFmtId="170" fontId="7" fillId="0" borderId="22" xfId="151" applyNumberFormat="1" applyFont="1" applyBorder="1" applyAlignment="1">
      <alignment horizontal="center"/>
    </xf>
    <xf numFmtId="170" fontId="8" fillId="0" borderId="31" xfId="0" applyNumberFormat="1" applyFont="1" applyBorder="1"/>
    <xf numFmtId="170" fontId="7" fillId="0" borderId="22" xfId="0" applyNumberFormat="1" applyFont="1" applyBorder="1"/>
    <xf numFmtId="170" fontId="8" fillId="0" borderId="43" xfId="151" applyNumberFormat="1" applyFont="1" applyBorder="1" applyAlignment="1">
      <alignment horizontal="center"/>
    </xf>
    <xf numFmtId="170" fontId="8" fillId="0" borderId="29" xfId="151" applyNumberFormat="1" applyFont="1" applyBorder="1" applyAlignment="1">
      <alignment horizontal="center"/>
    </xf>
    <xf numFmtId="174" fontId="8" fillId="0" borderId="47" xfId="151" applyNumberFormat="1" applyFont="1" applyBorder="1"/>
    <xf numFmtId="0" fontId="3" fillId="28" borderId="39" xfId="0" applyFont="1" applyFill="1" applyBorder="1" applyAlignment="1" applyProtection="1">
      <alignment horizontal="center"/>
      <protection locked="0"/>
    </xf>
    <xf numFmtId="17" fontId="3" fillId="28" borderId="12" xfId="0" quotePrefix="1" applyNumberFormat="1" applyFont="1" applyFill="1" applyBorder="1" applyProtection="1">
      <protection locked="0"/>
    </xf>
    <xf numFmtId="0" fontId="3" fillId="28" borderId="12" xfId="0" applyFont="1" applyFill="1" applyBorder="1" applyProtection="1">
      <protection locked="0"/>
    </xf>
    <xf numFmtId="0" fontId="3" fillId="28" borderId="69" xfId="0" applyFont="1" applyFill="1" applyBorder="1" applyProtection="1">
      <protection locked="0"/>
    </xf>
    <xf numFmtId="0" fontId="3" fillId="28" borderId="10" xfId="0" applyFont="1" applyFill="1" applyBorder="1" applyAlignment="1" applyProtection="1">
      <alignment horizontal="center"/>
      <protection locked="0"/>
    </xf>
    <xf numFmtId="0" fontId="3" fillId="28" borderId="0" xfId="0" applyFont="1" applyFill="1" applyProtection="1">
      <protection locked="0"/>
    </xf>
    <xf numFmtId="0" fontId="3" fillId="28" borderId="13" xfId="0" applyFont="1" applyFill="1" applyBorder="1" applyProtection="1">
      <protection locked="0"/>
    </xf>
    <xf numFmtId="0" fontId="3" fillId="28" borderId="13" xfId="0" applyFont="1" applyFill="1" applyBorder="1" applyAlignment="1" applyProtection="1">
      <alignment horizontal="center"/>
      <protection locked="0"/>
    </xf>
    <xf numFmtId="0" fontId="4" fillId="28" borderId="71" xfId="0" applyFont="1" applyFill="1" applyBorder="1" applyAlignment="1" applyProtection="1">
      <alignment horizontal="center"/>
      <protection locked="0"/>
    </xf>
    <xf numFmtId="0" fontId="3" fillId="28" borderId="0" xfId="0" applyFont="1" applyFill="1" applyAlignment="1" applyProtection="1">
      <alignment horizontal="center"/>
      <protection locked="0"/>
    </xf>
    <xf numFmtId="0" fontId="3" fillId="28" borderId="0" xfId="0" applyFont="1" applyFill="1" applyAlignment="1" applyProtection="1">
      <alignment horizontal="left"/>
      <protection locked="0"/>
    </xf>
    <xf numFmtId="174" fontId="7" fillId="28" borderId="43" xfId="0" applyNumberFormat="1" applyFont="1" applyFill="1" applyBorder="1" applyProtection="1">
      <protection locked="0"/>
    </xf>
    <xf numFmtId="174" fontId="7" fillId="28" borderId="46" xfId="0" applyNumberFormat="1" applyFont="1" applyFill="1" applyBorder="1" applyProtection="1">
      <protection locked="0"/>
    </xf>
    <xf numFmtId="174" fontId="7" fillId="28" borderId="49" xfId="0" applyNumberFormat="1" applyFont="1" applyFill="1" applyBorder="1" applyProtection="1">
      <protection locked="0"/>
    </xf>
    <xf numFmtId="174" fontId="8" fillId="28" borderId="43" xfId="0" applyNumberFormat="1" applyFont="1" applyFill="1" applyBorder="1" applyProtection="1">
      <protection locked="0"/>
    </xf>
    <xf numFmtId="174" fontId="8" fillId="28" borderId="49" xfId="0" applyNumberFormat="1" applyFont="1" applyFill="1" applyBorder="1" applyProtection="1">
      <protection locked="0"/>
    </xf>
    <xf numFmtId="174" fontId="7" fillId="28" borderId="37" xfId="0" applyNumberFormat="1" applyFont="1" applyFill="1" applyBorder="1" applyAlignment="1" applyProtection="1">
      <alignment horizontal="right"/>
      <protection locked="0"/>
    </xf>
    <xf numFmtId="174" fontId="7" fillId="28" borderId="26" xfId="0" applyNumberFormat="1" applyFont="1" applyFill="1" applyBorder="1" applyAlignment="1" applyProtection="1">
      <alignment horizontal="right"/>
      <protection locked="0"/>
    </xf>
    <xf numFmtId="174" fontId="7" fillId="28" borderId="22" xfId="0" applyNumberFormat="1" applyFont="1" applyFill="1" applyBorder="1" applyAlignment="1" applyProtection="1">
      <alignment horizontal="right"/>
      <protection locked="0"/>
    </xf>
    <xf numFmtId="174" fontId="7" fillId="28" borderId="0" xfId="0" applyNumberFormat="1" applyFont="1" applyFill="1" applyAlignment="1" applyProtection="1">
      <alignment horizontal="right"/>
      <protection locked="0"/>
    </xf>
    <xf numFmtId="174" fontId="7" fillId="28" borderId="13" xfId="0" applyNumberFormat="1" applyFont="1" applyFill="1" applyBorder="1" applyAlignment="1" applyProtection="1">
      <alignment horizontal="right"/>
      <protection locked="0"/>
    </xf>
    <xf numFmtId="174" fontId="7" fillId="28" borderId="10" xfId="0" applyNumberFormat="1" applyFont="1" applyFill="1" applyBorder="1" applyProtection="1">
      <protection locked="0"/>
    </xf>
    <xf numFmtId="174" fontId="7" fillId="28" borderId="54" xfId="0" applyNumberFormat="1" applyFont="1" applyFill="1" applyBorder="1" applyProtection="1">
      <protection locked="0"/>
    </xf>
    <xf numFmtId="174" fontId="7" fillId="28" borderId="63" xfId="0" applyNumberFormat="1" applyFont="1" applyFill="1" applyBorder="1" applyProtection="1">
      <protection locked="0"/>
    </xf>
    <xf numFmtId="174" fontId="7" fillId="28" borderId="36" xfId="0" applyNumberFormat="1" applyFont="1" applyFill="1" applyBorder="1" applyProtection="1">
      <protection locked="0"/>
    </xf>
    <xf numFmtId="174" fontId="7" fillId="28" borderId="51" xfId="0" applyNumberFormat="1" applyFont="1" applyFill="1" applyBorder="1" applyProtection="1">
      <protection locked="0"/>
    </xf>
    <xf numFmtId="174" fontId="7" fillId="28" borderId="45" xfId="0" applyNumberFormat="1" applyFont="1" applyFill="1" applyBorder="1" applyProtection="1">
      <protection locked="0"/>
    </xf>
    <xf numFmtId="174" fontId="7" fillId="28" borderId="46" xfId="79" applyNumberFormat="1" applyFont="1" applyFill="1" applyBorder="1" applyProtection="1">
      <protection locked="0"/>
    </xf>
    <xf numFmtId="174" fontId="7" fillId="28" borderId="45" xfId="79" applyNumberFormat="1" applyFont="1" applyFill="1" applyBorder="1" applyProtection="1">
      <protection locked="0"/>
    </xf>
    <xf numFmtId="174" fontId="7" fillId="28" borderId="22" xfId="79" applyNumberFormat="1" applyFont="1" applyFill="1" applyBorder="1" applyProtection="1">
      <protection locked="0"/>
    </xf>
    <xf numFmtId="174" fontId="7" fillId="28" borderId="64" xfId="0" applyNumberFormat="1" applyFont="1" applyFill="1" applyBorder="1" applyProtection="1">
      <protection locked="0"/>
    </xf>
    <xf numFmtId="170" fontId="7" fillId="28" borderId="22" xfId="151" applyNumberFormat="1" applyFont="1" applyFill="1" applyBorder="1" applyAlignment="1" applyProtection="1">
      <alignment horizontal="center" vertical="top" wrapText="1"/>
      <protection locked="0"/>
    </xf>
    <xf numFmtId="170" fontId="7" fillId="28" borderId="24" xfId="151" applyNumberFormat="1" applyFont="1" applyFill="1" applyBorder="1" applyAlignment="1" applyProtection="1">
      <alignment horizontal="center" vertical="top" wrapText="1"/>
      <protection locked="0"/>
    </xf>
    <xf numFmtId="0" fontId="7" fillId="28" borderId="11" xfId="0" applyFont="1" applyFill="1" applyBorder="1" applyProtection="1">
      <protection locked="0"/>
    </xf>
    <xf numFmtId="0" fontId="7" fillId="28" borderId="11" xfId="0" applyFont="1" applyFill="1" applyBorder="1" applyAlignment="1" applyProtection="1">
      <alignment horizontal="left" indent="1"/>
      <protection locked="0"/>
    </xf>
    <xf numFmtId="0" fontId="7" fillId="28" borderId="11" xfId="0" applyFont="1" applyFill="1" applyBorder="1" applyAlignment="1" applyProtection="1">
      <alignment horizontal="left" indent="2"/>
      <protection locked="0"/>
    </xf>
    <xf numFmtId="174" fontId="7" fillId="28" borderId="65" xfId="0" applyNumberFormat="1" applyFont="1" applyFill="1" applyBorder="1" applyProtection="1">
      <protection locked="0"/>
    </xf>
    <xf numFmtId="174" fontId="7" fillId="28" borderId="52" xfId="0" applyNumberFormat="1" applyFont="1" applyFill="1" applyBorder="1" applyProtection="1">
      <protection locked="0"/>
    </xf>
    <xf numFmtId="0" fontId="11" fillId="28" borderId="11" xfId="0" applyFont="1" applyFill="1" applyBorder="1" applyAlignment="1" applyProtection="1">
      <alignment horizontal="left" indent="2"/>
      <protection locked="0"/>
    </xf>
    <xf numFmtId="0" fontId="7" fillId="28" borderId="0" xfId="0" applyFont="1" applyFill="1" applyProtection="1">
      <protection locked="0"/>
    </xf>
    <xf numFmtId="174" fontId="8" fillId="28" borderId="65" xfId="0" applyNumberFormat="1" applyFont="1" applyFill="1" applyBorder="1" applyProtection="1">
      <protection locked="0"/>
    </xf>
    <xf numFmtId="174" fontId="8" fillId="28" borderId="52" xfId="0" applyNumberFormat="1" applyFont="1" applyFill="1" applyBorder="1" applyProtection="1">
      <protection locked="0"/>
    </xf>
    <xf numFmtId="0" fontId="11" fillId="28" borderId="0" xfId="0" applyFont="1" applyFill="1" applyAlignment="1" applyProtection="1">
      <alignment horizontal="left" indent="2"/>
      <protection locked="0"/>
    </xf>
    <xf numFmtId="174" fontId="8" fillId="28" borderId="10" xfId="0" applyNumberFormat="1" applyFont="1" applyFill="1" applyBorder="1" applyProtection="1">
      <protection locked="0"/>
    </xf>
    <xf numFmtId="174" fontId="8" fillId="28" borderId="26" xfId="0" applyNumberFormat="1" applyFont="1" applyFill="1" applyBorder="1" applyProtection="1">
      <protection locked="0"/>
    </xf>
    <xf numFmtId="174" fontId="8" fillId="28" borderId="22" xfId="0" applyNumberFormat="1" applyFont="1" applyFill="1" applyBorder="1" applyProtection="1">
      <protection locked="0"/>
    </xf>
    <xf numFmtId="174" fontId="8" fillId="28" borderId="46" xfId="0" applyNumberFormat="1" applyFont="1" applyFill="1" applyBorder="1" applyProtection="1">
      <protection locked="0"/>
    </xf>
    <xf numFmtId="0" fontId="8" fillId="28" borderId="64" xfId="0" applyFont="1" applyFill="1" applyBorder="1" applyAlignment="1" applyProtection="1">
      <alignment horizontal="center" vertical="center"/>
      <protection locked="0"/>
    </xf>
    <xf numFmtId="0" fontId="8" fillId="28" borderId="36" xfId="0" applyFont="1" applyFill="1" applyBorder="1" applyAlignment="1" applyProtection="1">
      <alignment horizontal="center" vertical="center"/>
      <protection locked="0"/>
    </xf>
    <xf numFmtId="0" fontId="8" fillId="28" borderId="80" xfId="0" applyFont="1" applyFill="1" applyBorder="1" applyAlignment="1" applyProtection="1">
      <alignment horizontal="center" vertical="center"/>
      <protection locked="0"/>
    </xf>
    <xf numFmtId="0" fontId="11" fillId="28" borderId="11" xfId="0" applyFont="1" applyFill="1" applyBorder="1" applyProtection="1">
      <protection locked="0"/>
    </xf>
    <xf numFmtId="0" fontId="48" fillId="30" borderId="0" xfId="0" applyFont="1" applyFill="1"/>
    <xf numFmtId="0" fontId="38" fillId="30" borderId="0" xfId="0" applyFont="1" applyFill="1" applyProtection="1">
      <protection locked="0"/>
    </xf>
    <xf numFmtId="0" fontId="48" fillId="30" borderId="0" xfId="0" applyFont="1" applyFill="1" applyAlignment="1">
      <alignment horizontal="right"/>
    </xf>
    <xf numFmtId="0" fontId="48" fillId="30" borderId="11" xfId="0" applyFont="1" applyFill="1" applyBorder="1" applyAlignment="1" applyProtection="1">
      <alignment horizontal="left" indent="1"/>
      <protection locked="0"/>
    </xf>
    <xf numFmtId="0" fontId="38" fillId="28" borderId="0" xfId="0" applyFont="1" applyFill="1" applyAlignment="1" applyProtection="1">
      <alignment horizontal="left" indent="1"/>
      <protection locked="0"/>
    </xf>
    <xf numFmtId="49" fontId="48" fillId="30" borderId="0" xfId="0" applyNumberFormat="1" applyFont="1" applyFill="1" applyAlignment="1">
      <alignment horizontal="right"/>
    </xf>
    <xf numFmtId="0" fontId="40" fillId="28" borderId="71" xfId="0" applyFont="1" applyFill="1" applyBorder="1" applyProtection="1">
      <protection locked="0"/>
    </xf>
    <xf numFmtId="49" fontId="49" fillId="30" borderId="0" xfId="0" applyNumberFormat="1" applyFont="1" applyFill="1" applyAlignment="1">
      <alignment horizontal="right"/>
    </xf>
    <xf numFmtId="0" fontId="49" fillId="30" borderId="0" xfId="0" applyFont="1" applyFill="1" applyAlignment="1">
      <alignment horizontal="right"/>
    </xf>
    <xf numFmtId="0" fontId="48" fillId="30" borderId="0" xfId="0" applyFont="1" applyFill="1" applyProtection="1">
      <protection locked="0"/>
    </xf>
    <xf numFmtId="0" fontId="50" fillId="30" borderId="0" xfId="0" applyFont="1" applyFill="1"/>
    <xf numFmtId="0" fontId="41" fillId="30" borderId="0" xfId="0" applyFont="1" applyFill="1"/>
    <xf numFmtId="0" fontId="51" fillId="30" borderId="0" xfId="0" applyFont="1" applyFill="1" applyAlignment="1">
      <alignment horizontal="right"/>
    </xf>
    <xf numFmtId="0" fontId="7" fillId="0" borderId="26" xfId="0" applyFont="1" applyBorder="1" applyAlignment="1">
      <alignment horizontal="left" indent="1"/>
    </xf>
    <xf numFmtId="0" fontId="8" fillId="0" borderId="26" xfId="0" applyFont="1" applyBorder="1" applyAlignment="1">
      <alignment horizontal="left" indent="1"/>
    </xf>
    <xf numFmtId="0" fontId="17" fillId="0" borderId="17" xfId="0" applyFont="1" applyBorder="1" applyProtection="1">
      <protection hidden="1"/>
    </xf>
    <xf numFmtId="0" fontId="17" fillId="0" borderId="0" xfId="0" applyFont="1" applyProtection="1">
      <protection hidden="1"/>
    </xf>
    <xf numFmtId="0" fontId="17" fillId="0" borderId="13" xfId="0" applyFont="1" applyBorder="1" applyProtection="1">
      <protection hidden="1"/>
    </xf>
    <xf numFmtId="0" fontId="42" fillId="0" borderId="0" xfId="0" applyFont="1" applyProtection="1">
      <protection hidden="1"/>
    </xf>
    <xf numFmtId="0" fontId="43" fillId="0" borderId="13" xfId="0" applyFont="1" applyBorder="1" applyProtection="1">
      <protection hidden="1"/>
    </xf>
    <xf numFmtId="0" fontId="6" fillId="0" borderId="81" xfId="0" applyFont="1" applyBorder="1" applyAlignment="1">
      <alignment horizontal="left" vertical="top" wrapText="1"/>
    </xf>
    <xf numFmtId="0" fontId="6" fillId="28" borderId="82"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0" borderId="0" xfId="0" applyFont="1" applyAlignment="1">
      <alignment horizontal="center" vertical="center" wrapText="1"/>
    </xf>
    <xf numFmtId="0" fontId="6" fillId="0" borderId="0" xfId="0" applyFont="1" applyAlignment="1">
      <alignment horizontal="left" vertical="center" wrapText="1"/>
    </xf>
    <xf numFmtId="0" fontId="6" fillId="0" borderId="0" xfId="0" quotePrefix="1" applyFont="1"/>
    <xf numFmtId="0" fontId="17" fillId="0" borderId="0" xfId="0" applyFont="1" applyAlignment="1">
      <alignment wrapText="1"/>
    </xf>
    <xf numFmtId="0" fontId="6" fillId="0" borderId="16" xfId="0" applyFont="1" applyBorder="1" applyAlignment="1">
      <alignment horizontal="left" vertical="top" wrapText="1"/>
    </xf>
    <xf numFmtId="0" fontId="6" fillId="0" borderId="17" xfId="0" applyFont="1" applyBorder="1" applyAlignment="1" applyProtection="1">
      <alignment horizontal="justify" vertical="center" wrapText="1"/>
      <protection locked="0"/>
    </xf>
    <xf numFmtId="0" fontId="17" fillId="0" borderId="0" xfId="0" applyFont="1" applyAlignment="1">
      <alignment vertical="center"/>
    </xf>
    <xf numFmtId="0" fontId="6" fillId="0" borderId="15" xfId="0" applyFont="1" applyBorder="1" applyAlignment="1">
      <alignment vertical="center"/>
    </xf>
    <xf numFmtId="0" fontId="11" fillId="0" borderId="0" xfId="119" applyFont="1" applyAlignment="1" applyProtection="1"/>
    <xf numFmtId="0" fontId="17" fillId="0" borderId="0" xfId="0" applyFont="1" applyAlignment="1" applyProtection="1">
      <alignment vertical="center"/>
      <protection hidden="1"/>
    </xf>
    <xf numFmtId="0" fontId="17" fillId="0" borderId="16" xfId="0" applyFont="1" applyBorder="1" applyAlignment="1">
      <alignment vertical="center"/>
    </xf>
    <xf numFmtId="0" fontId="17" fillId="0" borderId="17" xfId="0" applyFont="1" applyBorder="1" applyAlignment="1">
      <alignment vertical="center"/>
    </xf>
    <xf numFmtId="0" fontId="6" fillId="0" borderId="11"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0" xfId="0" applyFont="1" applyAlignment="1">
      <alignment horizontal="justify" vertical="top" wrapText="1"/>
    </xf>
    <xf numFmtId="0" fontId="6" fillId="0" borderId="16"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1" xfId="0" applyFont="1" applyBorder="1" applyAlignment="1">
      <alignment horizontal="left" vertical="top" wrapText="1"/>
    </xf>
    <xf numFmtId="0" fontId="17" fillId="0" borderId="0" xfId="119" applyFont="1" applyAlignment="1" applyProtection="1"/>
    <xf numFmtId="0" fontId="6" fillId="0" borderId="0" xfId="0" applyFont="1" applyAlignment="1" applyProtection="1">
      <alignment horizontal="left" vertical="top" wrapText="1"/>
      <protection locked="0"/>
    </xf>
    <xf numFmtId="0" fontId="6" fillId="0" borderId="16" xfId="0" applyFont="1" applyBorder="1" applyAlignment="1">
      <alignment horizontal="justify" vertical="top" wrapText="1"/>
    </xf>
    <xf numFmtId="0" fontId="6" fillId="0" borderId="17" xfId="0" applyFont="1" applyBorder="1" applyAlignment="1">
      <alignment horizontal="justify" vertical="top" wrapText="1"/>
    </xf>
    <xf numFmtId="0" fontId="6" fillId="28" borderId="13" xfId="0" applyFont="1" applyFill="1" applyBorder="1" applyAlignment="1" applyProtection="1">
      <alignment horizontal="left" vertical="top" wrapText="1"/>
      <protection locked="0"/>
    </xf>
    <xf numFmtId="0" fontId="17" fillId="0" borderId="16" xfId="0" applyFont="1" applyBorder="1" applyAlignment="1">
      <alignment horizontal="justify" vertical="top" wrapText="1"/>
    </xf>
    <xf numFmtId="0" fontId="17" fillId="0" borderId="17" xfId="0" applyFont="1" applyBorder="1" applyAlignment="1">
      <alignment horizontal="justify" vertical="top" wrapText="1"/>
    </xf>
    <xf numFmtId="0" fontId="6" fillId="0" borderId="0" xfId="0" applyFont="1" applyAlignment="1">
      <alignment vertical="center"/>
    </xf>
    <xf numFmtId="0" fontId="6" fillId="0" borderId="81" xfId="0" applyFont="1" applyBorder="1" applyAlignment="1">
      <alignment horizontal="justify" wrapText="1"/>
    </xf>
    <xf numFmtId="0" fontId="17" fillId="0" borderId="82" xfId="0" applyFont="1" applyBorder="1" applyAlignment="1">
      <alignment horizontal="justify" wrapText="1"/>
    </xf>
    <xf numFmtId="0" fontId="17" fillId="0" borderId="66" xfId="0" applyFont="1" applyBorder="1" applyAlignment="1">
      <alignment horizontal="justify" wrapText="1"/>
    </xf>
    <xf numFmtId="0" fontId="17" fillId="28" borderId="18" xfId="0" applyFont="1" applyFill="1" applyBorder="1" applyAlignment="1" applyProtection="1">
      <alignment horizontal="justify" wrapText="1"/>
      <protection locked="0"/>
    </xf>
    <xf numFmtId="0" fontId="17" fillId="0" borderId="15" xfId="0" applyFont="1" applyBorder="1" applyAlignment="1">
      <alignment horizontal="justify" wrapText="1"/>
    </xf>
    <xf numFmtId="177" fontId="17" fillId="28" borderId="69" xfId="0" applyNumberFormat="1" applyFont="1" applyFill="1" applyBorder="1" applyAlignment="1" applyProtection="1">
      <alignment horizontal="justify" wrapText="1"/>
      <protection locked="0"/>
    </xf>
    <xf numFmtId="0" fontId="17" fillId="0" borderId="16" xfId="0" applyFont="1" applyBorder="1" applyAlignment="1">
      <alignment horizontal="justify" wrapText="1"/>
    </xf>
    <xf numFmtId="177" fontId="17" fillId="0" borderId="17" xfId="0" applyNumberFormat="1" applyFont="1" applyBorder="1" applyAlignment="1" applyProtection="1">
      <alignment horizontal="justify" wrapText="1"/>
      <protection locked="0"/>
    </xf>
    <xf numFmtId="0" fontId="6" fillId="0" borderId="66" xfId="0" applyFont="1" applyBorder="1" applyAlignment="1">
      <alignment horizontal="justify" wrapText="1"/>
    </xf>
    <xf numFmtId="0" fontId="17" fillId="0" borderId="18" xfId="0" applyFont="1" applyBorder="1" applyAlignment="1">
      <alignment horizontal="justify" wrapText="1"/>
    </xf>
    <xf numFmtId="0" fontId="17" fillId="28" borderId="69" xfId="0" applyFont="1" applyFill="1" applyBorder="1" applyAlignment="1" applyProtection="1">
      <alignment horizontal="justify" wrapText="1"/>
      <protection locked="0"/>
    </xf>
    <xf numFmtId="0" fontId="17" fillId="0" borderId="17" xfId="0" applyFont="1" applyBorder="1" applyAlignment="1" applyProtection="1">
      <alignment horizontal="justify" wrapText="1"/>
      <protection locked="0"/>
    </xf>
    <xf numFmtId="0" fontId="17" fillId="0" borderId="11" xfId="0" applyFont="1" applyBorder="1" applyAlignment="1">
      <alignment horizontal="justify" wrapText="1"/>
    </xf>
    <xf numFmtId="0" fontId="6" fillId="0" borderId="66" xfId="0" applyFont="1" applyBorder="1" applyAlignment="1">
      <alignment horizontal="left"/>
    </xf>
    <xf numFmtId="9" fontId="8" fillId="0" borderId="29" xfId="0" applyNumberFormat="1" applyFont="1" applyBorder="1"/>
    <xf numFmtId="0" fontId="37" fillId="0" borderId="0" xfId="0" applyFont="1"/>
    <xf numFmtId="0" fontId="37" fillId="0" borderId="0" xfId="0" applyFont="1" applyAlignment="1">
      <alignment vertical="center"/>
    </xf>
    <xf numFmtId="0" fontId="8" fillId="0" borderId="19" xfId="0" applyFont="1" applyBorder="1" applyAlignment="1">
      <alignment horizontal="center" vertical="center" wrapText="1"/>
    </xf>
    <xf numFmtId="0" fontId="8" fillId="0" borderId="39" xfId="0" applyFont="1" applyBorder="1" applyAlignment="1">
      <alignment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38" xfId="0" applyFont="1" applyBorder="1" applyAlignment="1">
      <alignment vertical="center" wrapText="1"/>
    </xf>
    <xf numFmtId="0" fontId="8" fillId="0" borderId="19" xfId="0" applyFont="1" applyBorder="1" applyAlignment="1">
      <alignment horizontal="left"/>
    </xf>
    <xf numFmtId="14" fontId="0" fillId="0" borderId="0" xfId="0" applyNumberFormat="1" applyProtection="1">
      <protection locked="0"/>
    </xf>
    <xf numFmtId="15" fontId="0" fillId="0" borderId="0" xfId="0" applyNumberFormat="1" applyProtection="1">
      <protection locked="0"/>
    </xf>
    <xf numFmtId="2" fontId="7" fillId="0" borderId="36" xfId="0" applyNumberFormat="1" applyFont="1" applyBorder="1"/>
    <xf numFmtId="9" fontId="8" fillId="0" borderId="49" xfId="151" applyFont="1" applyBorder="1" applyAlignment="1">
      <alignment horizontal="center" vertical="center" wrapText="1"/>
    </xf>
    <xf numFmtId="9" fontId="8" fillId="0" borderId="51" xfId="151" applyFont="1" applyBorder="1" applyAlignment="1">
      <alignment horizontal="center" vertical="center"/>
    </xf>
    <xf numFmtId="170" fontId="8" fillId="0" borderId="46" xfId="151" applyNumberFormat="1" applyFont="1" applyBorder="1" applyAlignment="1">
      <alignment horizontal="center" wrapText="1"/>
    </xf>
    <xf numFmtId="170" fontId="7" fillId="0" borderId="49" xfId="151" applyNumberFormat="1" applyFont="1" applyBorder="1" applyAlignment="1">
      <alignment horizontal="center" vertical="top" wrapText="1"/>
    </xf>
    <xf numFmtId="170" fontId="8" fillId="0" borderId="49" xfId="151" applyNumberFormat="1" applyFont="1" applyBorder="1" applyAlignment="1">
      <alignment horizontal="center" vertical="top" wrapText="1"/>
    </xf>
    <xf numFmtId="170" fontId="8" fillId="0" borderId="47" xfId="151" applyNumberFormat="1" applyFont="1" applyBorder="1" applyAlignment="1">
      <alignment horizontal="center" vertical="top" wrapText="1"/>
    </xf>
    <xf numFmtId="170" fontId="8" fillId="0" borderId="56" xfId="151" applyNumberFormat="1" applyFont="1" applyBorder="1" applyAlignment="1">
      <alignment horizontal="center" vertical="top" wrapText="1"/>
    </xf>
    <xf numFmtId="0" fontId="8" fillId="0" borderId="0" xfId="0" applyFont="1" applyAlignment="1">
      <alignment wrapText="1"/>
    </xf>
    <xf numFmtId="0" fontId="37" fillId="29" borderId="0" xfId="0" applyFont="1" applyFill="1"/>
    <xf numFmtId="49" fontId="17" fillId="0" borderId="66" xfId="0" applyNumberFormat="1" applyFont="1" applyBorder="1" applyAlignment="1">
      <alignment horizontal="justify" wrapText="1"/>
    </xf>
    <xf numFmtId="49" fontId="17" fillId="28" borderId="18" xfId="0" applyNumberFormat="1" applyFont="1" applyFill="1" applyBorder="1" applyAlignment="1" applyProtection="1">
      <alignment horizontal="justify" wrapText="1"/>
      <protection locked="0"/>
    </xf>
    <xf numFmtId="0" fontId="2" fillId="0" borderId="0" xfId="0" applyFont="1" applyProtection="1">
      <protection hidden="1"/>
    </xf>
    <xf numFmtId="0" fontId="2" fillId="0" borderId="0" xfId="0" applyFont="1"/>
    <xf numFmtId="0" fontId="44" fillId="0" borderId="0" xfId="0" applyFont="1" applyAlignment="1">
      <alignment wrapText="1"/>
    </xf>
    <xf numFmtId="0" fontId="36" fillId="0" borderId="0" xfId="0" applyFont="1"/>
    <xf numFmtId="0" fontId="36" fillId="0" borderId="0" xfId="0" quotePrefix="1" applyFont="1"/>
    <xf numFmtId="0" fontId="17" fillId="28" borderId="69" xfId="0" applyFont="1" applyFill="1" applyBorder="1" applyAlignment="1" applyProtection="1">
      <alignment horizontal="left" vertical="center"/>
      <protection locked="0"/>
    </xf>
    <xf numFmtId="0" fontId="54" fillId="28" borderId="13" xfId="117" applyFill="1" applyBorder="1" applyAlignment="1" applyProtection="1">
      <alignment horizontal="justify" vertical="top" wrapText="1"/>
      <protection locked="0"/>
    </xf>
    <xf numFmtId="0" fontId="54" fillId="28" borderId="18" xfId="117" applyFill="1" applyBorder="1" applyAlignment="1" applyProtection="1">
      <alignment horizontal="justify" wrapText="1"/>
      <protection locked="0"/>
    </xf>
    <xf numFmtId="0" fontId="54" fillId="28" borderId="13" xfId="117" applyFill="1" applyBorder="1" applyAlignment="1" applyProtection="1">
      <alignment horizontal="justify" wrapText="1"/>
      <protection locked="0"/>
    </xf>
    <xf numFmtId="0" fontId="54" fillId="28" borderId="69" xfId="117" applyFill="1" applyBorder="1" applyAlignment="1" applyProtection="1">
      <alignment horizontal="justify" wrapText="1"/>
      <protection locked="0"/>
    </xf>
    <xf numFmtId="49" fontId="54" fillId="28" borderId="18" xfId="117" applyNumberFormat="1" applyFill="1" applyBorder="1" applyAlignment="1" applyProtection="1">
      <alignment horizontal="justify" wrapText="1"/>
      <protection locked="0"/>
    </xf>
    <xf numFmtId="0" fontId="8" fillId="0" borderId="41" xfId="0" applyFont="1" applyBorder="1" applyAlignment="1">
      <alignment horizontal="center" vertical="center" wrapText="1"/>
    </xf>
    <xf numFmtId="0" fontId="46" fillId="28" borderId="71" xfId="0" applyFont="1" applyFill="1" applyBorder="1" applyAlignment="1" applyProtection="1">
      <alignment horizontal="left" wrapText="1"/>
      <protection locked="0"/>
    </xf>
    <xf numFmtId="9" fontId="46" fillId="28" borderId="71" xfId="0" applyNumberFormat="1" applyFont="1" applyFill="1" applyBorder="1" applyAlignment="1" applyProtection="1">
      <alignment horizontal="left" wrapText="1"/>
      <protection locked="0"/>
    </xf>
    <xf numFmtId="0" fontId="46" fillId="28" borderId="71" xfId="0" applyFont="1" applyFill="1" applyBorder="1" applyAlignment="1" applyProtection="1">
      <alignment wrapText="1"/>
      <protection locked="0"/>
    </xf>
    <xf numFmtId="0" fontId="7" fillId="0" borderId="0" xfId="0" applyFont="1" applyAlignment="1">
      <alignment wrapText="1"/>
    </xf>
    <xf numFmtId="0" fontId="7" fillId="0" borderId="19" xfId="0" applyFont="1" applyBorder="1" applyAlignment="1">
      <alignment horizontal="center" wrapText="1"/>
    </xf>
    <xf numFmtId="0" fontId="7" fillId="0" borderId="19" xfId="0" applyFont="1" applyBorder="1" applyAlignment="1">
      <alignment wrapText="1"/>
    </xf>
    <xf numFmtId="0" fontId="7" fillId="0" borderId="17" xfId="0" applyFont="1" applyBorder="1" applyAlignment="1">
      <alignment wrapText="1"/>
    </xf>
    <xf numFmtId="0" fontId="43" fillId="0" borderId="39" xfId="0" applyFont="1" applyBorder="1" applyAlignment="1">
      <alignment horizontal="center" wrapText="1"/>
    </xf>
    <xf numFmtId="0" fontId="45" fillId="0" borderId="15" xfId="0" applyFont="1" applyBorder="1" applyAlignment="1">
      <alignment wrapText="1"/>
    </xf>
    <xf numFmtId="0" fontId="46" fillId="0" borderId="12" xfId="0" applyFont="1" applyBorder="1" applyAlignment="1">
      <alignment wrapText="1"/>
    </xf>
    <xf numFmtId="0" fontId="46" fillId="0" borderId="69" xfId="0" applyFont="1" applyBorder="1" applyAlignment="1">
      <alignment wrapText="1"/>
    </xf>
    <xf numFmtId="0" fontId="43" fillId="0" borderId="10" xfId="0" applyFont="1" applyBorder="1" applyAlignment="1">
      <alignment horizontal="center" wrapText="1"/>
    </xf>
    <xf numFmtId="0" fontId="45" fillId="0" borderId="11" xfId="0" applyFont="1" applyBorder="1" applyAlignment="1">
      <alignment wrapText="1"/>
    </xf>
    <xf numFmtId="0" fontId="46" fillId="0" borderId="0" xfId="0" applyFont="1" applyAlignment="1">
      <alignment wrapText="1"/>
    </xf>
    <xf numFmtId="0" fontId="46" fillId="0" borderId="13" xfId="0" applyFont="1" applyBorder="1" applyAlignment="1">
      <alignment wrapText="1"/>
    </xf>
    <xf numFmtId="9" fontId="46" fillId="28" borderId="71" xfId="0" applyNumberFormat="1" applyFont="1" applyFill="1" applyBorder="1" applyAlignment="1" applyProtection="1">
      <alignment wrapText="1"/>
      <protection locked="0"/>
    </xf>
    <xf numFmtId="0" fontId="43" fillId="0" borderId="16" xfId="0" applyFont="1" applyBorder="1" applyAlignment="1">
      <alignment horizontal="center" wrapText="1"/>
    </xf>
    <xf numFmtId="0" fontId="43" fillId="0" borderId="70" xfId="0" applyFont="1" applyBorder="1" applyAlignment="1" applyProtection="1">
      <alignment wrapText="1"/>
      <protection locked="0"/>
    </xf>
    <xf numFmtId="9" fontId="43" fillId="0" borderId="70" xfId="0" applyNumberFormat="1" applyFont="1" applyBorder="1" applyAlignment="1" applyProtection="1">
      <alignment wrapText="1"/>
      <protection locked="0"/>
    </xf>
    <xf numFmtId="0" fontId="43" fillId="0" borderId="18" xfId="0" applyFont="1" applyBorder="1" applyAlignment="1" applyProtection="1">
      <alignment wrapText="1"/>
      <protection locked="0"/>
    </xf>
    <xf numFmtId="0" fontId="7" fillId="0" borderId="0" xfId="0" applyFont="1" applyAlignment="1">
      <alignment horizontal="center" wrapText="1"/>
    </xf>
    <xf numFmtId="9" fontId="46" fillId="0" borderId="0" xfId="0" applyNumberFormat="1" applyFont="1" applyAlignment="1">
      <alignment wrapText="1"/>
    </xf>
    <xf numFmtId="165" fontId="7" fillId="0" borderId="0" xfId="0" applyNumberFormat="1" applyFont="1"/>
    <xf numFmtId="0" fontId="11" fillId="0" borderId="16" xfId="0" applyFont="1" applyBorder="1" applyAlignment="1">
      <alignment horizontal="right"/>
    </xf>
    <xf numFmtId="0" fontId="11" fillId="0" borderId="14" xfId="0" applyFont="1" applyBorder="1" applyAlignment="1">
      <alignment horizontal="center"/>
    </xf>
    <xf numFmtId="0" fontId="12" fillId="0" borderId="11" xfId="0" applyFont="1" applyBorder="1"/>
    <xf numFmtId="0" fontId="7" fillId="0" borderId="14" xfId="0" applyFont="1" applyBorder="1" applyAlignment="1">
      <alignment horizontal="center"/>
    </xf>
    <xf numFmtId="171" fontId="8" fillId="0" borderId="14" xfId="0" applyNumberFormat="1" applyFont="1" applyBorder="1"/>
    <xf numFmtId="171" fontId="8" fillId="0" borderId="17" xfId="0" applyNumberFormat="1" applyFont="1" applyBorder="1"/>
    <xf numFmtId="0" fontId="11" fillId="0" borderId="11" xfId="0" quotePrefix="1" applyFont="1" applyBorder="1"/>
    <xf numFmtId="171" fontId="7" fillId="0" borderId="14" xfId="0" applyNumberFormat="1" applyFont="1" applyBorder="1"/>
    <xf numFmtId="171" fontId="7" fillId="0" borderId="17" xfId="0" applyNumberFormat="1" applyFont="1" applyBorder="1"/>
    <xf numFmtId="0" fontId="12" fillId="0" borderId="11" xfId="0" applyFont="1" applyBorder="1" applyAlignment="1">
      <alignment horizontal="left"/>
    </xf>
    <xf numFmtId="171" fontId="9" fillId="0" borderId="13" xfId="0" applyNumberFormat="1" applyFont="1" applyBorder="1"/>
    <xf numFmtId="167" fontId="11" fillId="0" borderId="13" xfId="79" applyNumberFormat="1" applyFont="1" applyBorder="1" applyAlignment="1">
      <alignment horizontal="right"/>
    </xf>
    <xf numFmtId="0" fontId="11" fillId="0" borderId="16" xfId="0" applyFont="1" applyBorder="1" applyAlignment="1">
      <alignment horizontal="left" vertical="top" wrapText="1"/>
    </xf>
    <xf numFmtId="0" fontId="11" fillId="0" borderId="14" xfId="0" applyFont="1" applyBorder="1" applyAlignment="1">
      <alignment horizontal="left" vertical="top" wrapText="1"/>
    </xf>
    <xf numFmtId="0" fontId="11" fillId="0" borderId="17" xfId="0" applyFont="1" applyBorder="1" applyAlignment="1">
      <alignment horizontal="left" vertical="top" wrapText="1"/>
    </xf>
    <xf numFmtId="167" fontId="11" fillId="0" borderId="14" xfId="79" applyNumberFormat="1" applyFont="1" applyBorder="1" applyAlignment="1">
      <alignment horizontal="right"/>
    </xf>
    <xf numFmtId="0" fontId="11" fillId="0" borderId="11" xfId="0" applyFont="1" applyBorder="1" applyAlignment="1">
      <alignment horizontal="left"/>
    </xf>
    <xf numFmtId="167" fontId="7" fillId="0" borderId="13" xfId="79" applyNumberFormat="1" applyFont="1" applyBorder="1"/>
    <xf numFmtId="167" fontId="11" fillId="0" borderId="14" xfId="79" applyNumberFormat="1" applyFont="1" applyBorder="1"/>
    <xf numFmtId="167" fontId="11" fillId="0" borderId="17" xfId="79" applyNumberFormat="1" applyFont="1" applyBorder="1"/>
    <xf numFmtId="0" fontId="6" fillId="0" borderId="70" xfId="0" applyFont="1" applyBorder="1" applyAlignment="1">
      <alignment horizontal="left"/>
    </xf>
    <xf numFmtId="0" fontId="6" fillId="0" borderId="18" xfId="0" applyFont="1" applyBorder="1" applyAlignment="1">
      <alignment horizontal="left"/>
    </xf>
    <xf numFmtId="171" fontId="8" fillId="0" borderId="13" xfId="0" applyNumberFormat="1" applyFont="1" applyBorder="1" applyProtection="1">
      <protection locked="0"/>
    </xf>
    <xf numFmtId="0" fontId="12" fillId="0" borderId="13" xfId="0" applyFont="1" applyBorder="1" applyAlignment="1">
      <alignment horizontal="left"/>
    </xf>
    <xf numFmtId="0" fontId="7" fillId="0" borderId="11" xfId="0" quotePrefix="1" applyFont="1" applyBorder="1"/>
    <xf numFmtId="0" fontId="11" fillId="0" borderId="16" xfId="0" applyFont="1" applyBorder="1"/>
    <xf numFmtId="0" fontId="11" fillId="0" borderId="13" xfId="0" quotePrefix="1" applyFont="1" applyBorder="1" applyAlignment="1">
      <alignment horizontal="left" wrapText="1"/>
    </xf>
    <xf numFmtId="169" fontId="8" fillId="0" borderId="13" xfId="0" applyNumberFormat="1" applyFont="1" applyBorder="1"/>
    <xf numFmtId="168" fontId="11" fillId="0" borderId="0" xfId="79" applyNumberFormat="1" applyFont="1"/>
    <xf numFmtId="168" fontId="11" fillId="0" borderId="13" xfId="79" applyNumberFormat="1" applyFont="1" applyBorder="1"/>
    <xf numFmtId="174" fontId="7" fillId="28" borderId="46" xfId="0" applyNumberFormat="1" applyFont="1" applyFill="1" applyBorder="1" applyAlignment="1" applyProtection="1">
      <alignment horizontal="right"/>
      <protection locked="0"/>
    </xf>
    <xf numFmtId="0" fontId="11" fillId="0" borderId="16" xfId="0" quotePrefix="1" applyFont="1" applyBorder="1"/>
    <xf numFmtId="0" fontId="7" fillId="0" borderId="14" xfId="0" applyFont="1" applyBorder="1" applyAlignment="1" applyProtection="1">
      <alignment horizontal="center"/>
      <protection locked="0"/>
    </xf>
    <xf numFmtId="0" fontId="8" fillId="0" borderId="14" xfId="0" applyFont="1" applyBorder="1" applyProtection="1">
      <protection locked="0"/>
    </xf>
    <xf numFmtId="171" fontId="8" fillId="0" borderId="14" xfId="0" applyNumberFormat="1" applyFont="1" applyBorder="1" applyProtection="1">
      <protection locked="0"/>
    </xf>
    <xf numFmtId="171" fontId="8" fillId="0" borderId="17" xfId="0" applyNumberFormat="1" applyFont="1" applyBorder="1" applyProtection="1">
      <protection locked="0"/>
    </xf>
    <xf numFmtId="0" fontId="7" fillId="0" borderId="33" xfId="0" applyFont="1" applyBorder="1" applyAlignment="1">
      <alignment horizontal="center"/>
    </xf>
    <xf numFmtId="0" fontId="7" fillId="0" borderId="37" xfId="0" applyFont="1" applyBorder="1" applyAlignment="1">
      <alignment horizontal="left" vertical="center"/>
    </xf>
    <xf numFmtId="0" fontId="7" fillId="0" borderId="25" xfId="0" applyFont="1" applyBorder="1" applyAlignment="1">
      <alignment horizontal="left"/>
    </xf>
    <xf numFmtId="0" fontId="7" fillId="0" borderId="23" xfId="0" applyFont="1" applyBorder="1" applyAlignment="1">
      <alignment horizontal="left"/>
    </xf>
    <xf numFmtId="0" fontId="7" fillId="0" borderId="0" xfId="0" applyFont="1" applyAlignment="1">
      <alignment horizontal="left" vertical="center"/>
    </xf>
    <xf numFmtId="0" fontId="7" fillId="0" borderId="22" xfId="0" applyFont="1" applyBorder="1" applyAlignment="1">
      <alignment horizontal="left" vertical="center"/>
    </xf>
    <xf numFmtId="0" fontId="7" fillId="0" borderId="13" xfId="0" applyFont="1" applyBorder="1" applyAlignment="1">
      <alignment horizontal="left" vertical="center"/>
    </xf>
    <xf numFmtId="174" fontId="8" fillId="0" borderId="37" xfId="0" applyNumberFormat="1" applyFont="1" applyBorder="1" applyAlignment="1">
      <alignment horizontal="left"/>
    </xf>
    <xf numFmtId="174" fontId="8" fillId="0" borderId="26" xfId="0" applyNumberFormat="1" applyFont="1" applyBorder="1" applyAlignment="1">
      <alignment horizontal="left"/>
    </xf>
    <xf numFmtId="174" fontId="8" fillId="0" borderId="22" xfId="0" applyNumberFormat="1" applyFont="1" applyBorder="1" applyAlignment="1">
      <alignment horizontal="left"/>
    </xf>
    <xf numFmtId="174" fontId="8" fillId="0" borderId="0" xfId="0" applyNumberFormat="1" applyFont="1" applyAlignment="1">
      <alignment horizontal="left"/>
    </xf>
    <xf numFmtId="174" fontId="8" fillId="0" borderId="13" xfId="0" applyNumberFormat="1" applyFont="1" applyBorder="1" applyAlignment="1">
      <alignment horizontal="left"/>
    </xf>
    <xf numFmtId="174" fontId="7" fillId="28" borderId="37" xfId="0" applyNumberFormat="1" applyFont="1" applyFill="1" applyBorder="1" applyAlignment="1" applyProtection="1">
      <alignment horizontal="left"/>
      <protection locked="0"/>
    </xf>
    <xf numFmtId="174" fontId="7" fillId="28" borderId="26" xfId="0" applyNumberFormat="1" applyFont="1" applyFill="1" applyBorder="1" applyAlignment="1" applyProtection="1">
      <alignment horizontal="left"/>
      <protection locked="0"/>
    </xf>
    <xf numFmtId="174" fontId="7" fillId="28" borderId="22" xfId="0" applyNumberFormat="1" applyFont="1" applyFill="1" applyBorder="1" applyAlignment="1" applyProtection="1">
      <alignment horizontal="left"/>
      <protection locked="0"/>
    </xf>
    <xf numFmtId="174" fontId="7" fillId="28" borderId="0" xfId="0" applyNumberFormat="1" applyFont="1" applyFill="1" applyAlignment="1" applyProtection="1">
      <alignment horizontal="left"/>
      <protection locked="0"/>
    </xf>
    <xf numFmtId="174" fontId="7" fillId="0" borderId="22" xfId="0" applyNumberFormat="1" applyFont="1" applyBorder="1" applyAlignment="1">
      <alignment horizontal="left"/>
    </xf>
    <xf numFmtId="174" fontId="7" fillId="28" borderId="13" xfId="0" applyNumberFormat="1" applyFont="1" applyFill="1" applyBorder="1" applyAlignment="1" applyProtection="1">
      <alignment horizontal="left"/>
      <protection locked="0"/>
    </xf>
    <xf numFmtId="174" fontId="7" fillId="0" borderId="45" xfId="0" applyNumberFormat="1" applyFont="1" applyBorder="1" applyAlignment="1">
      <alignment horizontal="left"/>
    </xf>
    <xf numFmtId="174" fontId="8" fillId="0" borderId="77" xfId="0" applyNumberFormat="1" applyFont="1" applyBorder="1" applyAlignment="1">
      <alignment horizontal="left"/>
    </xf>
    <xf numFmtId="174" fontId="8" fillId="0" borderId="52" xfId="0" applyNumberFormat="1" applyFont="1" applyBorder="1" applyAlignment="1">
      <alignment horizontal="left"/>
    </xf>
    <xf numFmtId="174" fontId="8" fillId="0" borderId="43" xfId="0" applyNumberFormat="1" applyFont="1" applyBorder="1" applyAlignment="1">
      <alignment horizontal="left"/>
    </xf>
    <xf numFmtId="174" fontId="8" fillId="0" borderId="73" xfId="0" applyNumberFormat="1" applyFont="1" applyBorder="1" applyAlignment="1">
      <alignment horizontal="left"/>
    </xf>
    <xf numFmtId="174" fontId="7" fillId="0" borderId="43" xfId="0" applyNumberFormat="1" applyFont="1" applyBorder="1" applyAlignment="1">
      <alignment horizontal="left"/>
    </xf>
    <xf numFmtId="174" fontId="8" fillId="0" borderId="72" xfId="0" applyNumberFormat="1" applyFont="1" applyBorder="1" applyAlignment="1">
      <alignment horizontal="left"/>
    </xf>
    <xf numFmtId="174" fontId="7" fillId="0" borderId="67" xfId="0" applyNumberFormat="1" applyFont="1" applyBorder="1" applyAlignment="1">
      <alignment horizontal="left"/>
    </xf>
    <xf numFmtId="174" fontId="7" fillId="0" borderId="33" xfId="0" applyNumberFormat="1" applyFont="1" applyBorder="1" applyAlignment="1">
      <alignment horizontal="left"/>
    </xf>
    <xf numFmtId="174" fontId="7" fillId="0" borderId="24" xfId="0" applyNumberFormat="1" applyFont="1" applyBorder="1" applyAlignment="1">
      <alignment horizontal="left"/>
    </xf>
    <xf numFmtId="174" fontId="7" fillId="0" borderId="14" xfId="0" applyNumberFormat="1" applyFont="1" applyBorder="1" applyAlignment="1">
      <alignment horizontal="left"/>
    </xf>
    <xf numFmtId="174" fontId="7" fillId="0" borderId="17" xfId="0" applyNumberFormat="1" applyFont="1" applyBorder="1" applyAlignment="1">
      <alignment horizontal="left"/>
    </xf>
    <xf numFmtId="174" fontId="7" fillId="0" borderId="78" xfId="0" applyNumberFormat="1" applyFont="1" applyBorder="1" applyAlignment="1">
      <alignment horizontal="left"/>
    </xf>
    <xf numFmtId="174" fontId="7" fillId="0" borderId="25" xfId="0" applyNumberFormat="1" applyFont="1" applyBorder="1" applyAlignment="1">
      <alignment horizontal="left"/>
    </xf>
    <xf numFmtId="174" fontId="7" fillId="0" borderId="23" xfId="0" applyNumberFormat="1" applyFont="1" applyBorder="1" applyAlignment="1">
      <alignment horizontal="left"/>
    </xf>
    <xf numFmtId="174" fontId="7" fillId="0" borderId="12" xfId="0" applyNumberFormat="1" applyFont="1" applyBorder="1" applyAlignment="1">
      <alignment horizontal="left"/>
    </xf>
    <xf numFmtId="174" fontId="7" fillId="0" borderId="69" xfId="0" applyNumberFormat="1" applyFont="1" applyBorder="1" applyAlignment="1">
      <alignment horizontal="left"/>
    </xf>
    <xf numFmtId="174" fontId="8" fillId="0" borderId="49" xfId="0" applyNumberFormat="1" applyFont="1" applyBorder="1" applyAlignment="1">
      <alignment horizontal="left"/>
    </xf>
    <xf numFmtId="174" fontId="8" fillId="0" borderId="46" xfId="0" applyNumberFormat="1" applyFont="1" applyBorder="1" applyAlignment="1">
      <alignment horizontal="left"/>
    </xf>
    <xf numFmtId="174" fontId="8" fillId="0" borderId="34" xfId="0" applyNumberFormat="1" applyFont="1" applyBorder="1" applyAlignment="1">
      <alignment horizontal="left"/>
    </xf>
    <xf numFmtId="174" fontId="8" fillId="0" borderId="30" xfId="0" applyNumberFormat="1" applyFont="1" applyBorder="1" applyAlignment="1">
      <alignment horizontal="left"/>
    </xf>
    <xf numFmtId="174" fontId="8" fillId="0" borderId="29" xfId="0" applyNumberFormat="1" applyFont="1" applyBorder="1" applyAlignment="1">
      <alignment horizontal="left"/>
    </xf>
    <xf numFmtId="174" fontId="8" fillId="0" borderId="74" xfId="0" applyNumberFormat="1" applyFont="1" applyBorder="1" applyAlignment="1">
      <alignment horizontal="left"/>
    </xf>
    <xf numFmtId="174" fontId="8" fillId="0" borderId="56" xfId="0" applyNumberFormat="1" applyFont="1" applyBorder="1" applyAlignment="1">
      <alignment horizontal="left"/>
    </xf>
    <xf numFmtId="0" fontId="11" fillId="0" borderId="0" xfId="0" applyFont="1" applyAlignment="1" applyProtection="1">
      <alignment horizontal="left"/>
      <protection locked="0"/>
    </xf>
    <xf numFmtId="171" fontId="8" fillId="0" borderId="0" xfId="0" applyNumberFormat="1" applyFont="1" applyAlignment="1" applyProtection="1">
      <alignment horizontal="left"/>
      <protection locked="0"/>
    </xf>
    <xf numFmtId="171" fontId="8" fillId="0" borderId="13" xfId="0" applyNumberFormat="1" applyFont="1" applyBorder="1" applyAlignment="1" applyProtection="1">
      <alignment horizontal="left"/>
      <protection locked="0"/>
    </xf>
    <xf numFmtId="0" fontId="8" fillId="0" borderId="0" xfId="0" applyFont="1" applyAlignment="1" applyProtection="1">
      <alignment horizontal="left"/>
      <protection locked="0"/>
    </xf>
    <xf numFmtId="167" fontId="7" fillId="0" borderId="0" xfId="79" applyNumberFormat="1" applyFont="1" applyAlignment="1" applyProtection="1">
      <alignment horizontal="left"/>
      <protection locked="0"/>
    </xf>
    <xf numFmtId="167" fontId="7" fillId="0" borderId="13" xfId="79" applyNumberFormat="1" applyFont="1" applyBorder="1" applyAlignment="1" applyProtection="1">
      <alignment horizontal="left"/>
      <protection locked="0"/>
    </xf>
    <xf numFmtId="0" fontId="7" fillId="0" borderId="13" xfId="0" applyFont="1" applyBorder="1" applyAlignment="1">
      <alignment horizontal="left"/>
    </xf>
    <xf numFmtId="167" fontId="11" fillId="0" borderId="0" xfId="79" applyNumberFormat="1" applyFont="1" applyAlignment="1">
      <alignment horizontal="left"/>
    </xf>
    <xf numFmtId="167" fontId="11" fillId="0" borderId="13" xfId="79" applyNumberFormat="1" applyFont="1" applyBorder="1" applyAlignment="1">
      <alignment horizontal="left"/>
    </xf>
    <xf numFmtId="167" fontId="11" fillId="0" borderId="14" xfId="79" applyNumberFormat="1" applyFont="1" applyBorder="1" applyAlignment="1">
      <alignment horizontal="left"/>
    </xf>
    <xf numFmtId="167" fontId="11" fillId="0" borderId="17" xfId="79" applyNumberFormat="1" applyFont="1" applyBorder="1" applyAlignment="1">
      <alignment horizontal="left"/>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6" fillId="0" borderId="70" xfId="0" applyFont="1" applyBorder="1" applyAlignment="1">
      <alignment horizontal="right"/>
    </xf>
    <xf numFmtId="9" fontId="8" fillId="0" borderId="22" xfId="151" applyFont="1" applyBorder="1" applyAlignment="1">
      <alignment horizontal="right" vertical="center"/>
    </xf>
    <xf numFmtId="9" fontId="8" fillId="0" borderId="22" xfId="151" applyFont="1" applyBorder="1" applyAlignment="1">
      <alignment horizontal="right"/>
    </xf>
    <xf numFmtId="9" fontId="7" fillId="0" borderId="22" xfId="151" applyFont="1" applyBorder="1" applyAlignment="1">
      <alignment horizontal="right"/>
    </xf>
    <xf numFmtId="9" fontId="7" fillId="0" borderId="43" xfId="151" applyFont="1" applyBorder="1" applyAlignment="1">
      <alignment horizontal="right"/>
    </xf>
    <xf numFmtId="9" fontId="7" fillId="0" borderId="24" xfId="151" applyFont="1" applyBorder="1" applyAlignment="1">
      <alignment horizontal="right"/>
    </xf>
    <xf numFmtId="174" fontId="8" fillId="0" borderId="29" xfId="0" applyNumberFormat="1" applyFont="1" applyBorder="1" applyAlignment="1">
      <alignment horizontal="right"/>
    </xf>
    <xf numFmtId="171" fontId="8" fillId="0" borderId="0" xfId="0" applyNumberFormat="1" applyFont="1" applyAlignment="1" applyProtection="1">
      <alignment horizontal="right"/>
      <protection locked="0"/>
    </xf>
    <xf numFmtId="167" fontId="7" fillId="0" borderId="0" xfId="79" applyNumberFormat="1" applyFont="1" applyAlignment="1" applyProtection="1">
      <alignment horizontal="right"/>
      <protection locked="0"/>
    </xf>
    <xf numFmtId="0" fontId="8" fillId="0" borderId="23" xfId="0" applyFont="1" applyBorder="1" applyAlignment="1">
      <alignment horizontal="left"/>
    </xf>
    <xf numFmtId="0" fontId="8" fillId="0" borderId="53" xfId="0" applyFont="1" applyBorder="1" applyAlignment="1">
      <alignment horizontal="left"/>
    </xf>
    <xf numFmtId="174" fontId="8" fillId="0" borderId="31" xfId="0" applyNumberFormat="1" applyFont="1" applyBorder="1" applyAlignment="1">
      <alignment horizontal="left"/>
    </xf>
    <xf numFmtId="174" fontId="8" fillId="0" borderId="47" xfId="0" applyNumberFormat="1" applyFont="1" applyBorder="1" applyAlignment="1">
      <alignment horizontal="left"/>
    </xf>
    <xf numFmtId="174" fontId="7" fillId="28" borderId="46" xfId="0" applyNumberFormat="1" applyFont="1" applyFill="1" applyBorder="1" applyAlignment="1" applyProtection="1">
      <alignment horizontal="left"/>
      <protection locked="0"/>
    </xf>
    <xf numFmtId="174" fontId="7" fillId="0" borderId="46" xfId="0" applyNumberFormat="1" applyFont="1" applyBorder="1" applyAlignment="1">
      <alignment horizontal="left"/>
    </xf>
    <xf numFmtId="174" fontId="8" fillId="0" borderId="24" xfId="0" applyNumberFormat="1" applyFont="1" applyBorder="1" applyAlignment="1">
      <alignment horizontal="left"/>
    </xf>
    <xf numFmtId="174" fontId="8" fillId="0" borderId="50" xfId="0" applyNumberFormat="1" applyFont="1" applyBorder="1" applyAlignment="1">
      <alignment horizontal="left"/>
    </xf>
    <xf numFmtId="171" fontId="9" fillId="0" borderId="0" xfId="0" applyNumberFormat="1" applyFont="1" applyAlignment="1" applyProtection="1">
      <alignment horizontal="left"/>
      <protection locked="0"/>
    </xf>
    <xf numFmtId="171" fontId="9" fillId="0" borderId="13" xfId="0" applyNumberFormat="1" applyFont="1" applyBorder="1" applyAlignment="1" applyProtection="1">
      <alignment horizontal="left"/>
      <protection locked="0"/>
    </xf>
    <xf numFmtId="0" fontId="9" fillId="0" borderId="0" xfId="0" applyFont="1" applyAlignment="1">
      <alignment horizontal="left"/>
    </xf>
    <xf numFmtId="171" fontId="9" fillId="0" borderId="0" xfId="0" applyNumberFormat="1" applyFont="1" applyAlignment="1">
      <alignment horizontal="left"/>
    </xf>
    <xf numFmtId="171" fontId="9" fillId="0" borderId="13" xfId="0" applyNumberFormat="1" applyFont="1" applyBorder="1" applyAlignment="1">
      <alignment horizontal="left"/>
    </xf>
    <xf numFmtId="0" fontId="8" fillId="0" borderId="0" xfId="0" applyFont="1" applyAlignment="1">
      <alignment horizontal="left"/>
    </xf>
    <xf numFmtId="171" fontId="8" fillId="0" borderId="0" xfId="0" applyNumberFormat="1" applyFont="1" applyAlignment="1">
      <alignment horizontal="left"/>
    </xf>
    <xf numFmtId="171" fontId="8" fillId="0" borderId="13" xfId="0" applyNumberFormat="1" applyFont="1" applyBorder="1" applyAlignment="1">
      <alignment horizontal="left"/>
    </xf>
    <xf numFmtId="0" fontId="8" fillId="0" borderId="23" xfId="0" applyFont="1" applyBorder="1" applyAlignment="1">
      <alignment horizontal="right"/>
    </xf>
    <xf numFmtId="9" fontId="8" fillId="0" borderId="31" xfId="151" applyFont="1" applyBorder="1" applyAlignment="1">
      <alignment horizontal="right"/>
    </xf>
    <xf numFmtId="9" fontId="8" fillId="0" borderId="43" xfId="0" applyNumberFormat="1" applyFont="1" applyBorder="1" applyAlignment="1">
      <alignment horizontal="right"/>
    </xf>
    <xf numFmtId="9" fontId="7" fillId="0" borderId="22" xfId="0" applyNumberFormat="1" applyFont="1" applyBorder="1" applyAlignment="1">
      <alignment horizontal="right"/>
    </xf>
    <xf numFmtId="9" fontId="8" fillId="0" borderId="31" xfId="0" applyNumberFormat="1" applyFont="1" applyBorder="1" applyAlignment="1">
      <alignment horizontal="right"/>
    </xf>
    <xf numFmtId="9" fontId="8" fillId="0" borderId="24" xfId="0" applyNumberFormat="1" applyFont="1" applyBorder="1" applyAlignment="1">
      <alignment horizontal="right"/>
    </xf>
    <xf numFmtId="171" fontId="9" fillId="0" borderId="0" xfId="0" applyNumberFormat="1" applyFont="1" applyAlignment="1" applyProtection="1">
      <alignment horizontal="right"/>
      <protection locked="0"/>
    </xf>
    <xf numFmtId="171" fontId="9" fillId="0" borderId="0" xfId="0" applyNumberFormat="1" applyFont="1" applyAlignment="1">
      <alignment horizontal="right"/>
    </xf>
    <xf numFmtId="171" fontId="8" fillId="0" borderId="0" xfId="0" applyNumberFormat="1" applyFont="1" applyAlignment="1">
      <alignment horizontal="right"/>
    </xf>
    <xf numFmtId="0" fontId="7" fillId="0" borderId="14" xfId="0" applyFont="1" applyBorder="1" applyAlignment="1">
      <alignment horizontal="center" vertical="center"/>
    </xf>
    <xf numFmtId="0" fontId="8" fillId="0" borderId="78" xfId="0" applyFont="1" applyBorder="1" applyAlignment="1">
      <alignment horizontal="left"/>
    </xf>
    <xf numFmtId="174" fontId="8" fillId="0" borderId="68" xfId="0" applyNumberFormat="1" applyFont="1" applyBorder="1" applyAlignment="1">
      <alignment horizontal="left"/>
    </xf>
    <xf numFmtId="174" fontId="7" fillId="0" borderId="37" xfId="0" applyNumberFormat="1" applyFont="1" applyBorder="1" applyAlignment="1">
      <alignment horizontal="left"/>
    </xf>
    <xf numFmtId="174" fontId="8" fillId="0" borderId="67" xfId="0" applyNumberFormat="1" applyFont="1" applyBorder="1" applyAlignment="1">
      <alignment horizontal="left"/>
    </xf>
    <xf numFmtId="0" fontId="8" fillId="0" borderId="25" xfId="0" applyFont="1" applyBorder="1" applyAlignment="1">
      <alignment horizontal="left"/>
    </xf>
    <xf numFmtId="174" fontId="8" fillId="0" borderId="32" xfId="0" applyNumberFormat="1" applyFont="1" applyBorder="1" applyAlignment="1">
      <alignment horizontal="left"/>
    </xf>
    <xf numFmtId="174" fontId="7" fillId="0" borderId="26" xfId="0" applyNumberFormat="1" applyFont="1" applyBorder="1" applyAlignment="1">
      <alignment horizontal="left"/>
    </xf>
    <xf numFmtId="174" fontId="8" fillId="0" borderId="33" xfId="0" applyNumberFormat="1" applyFont="1" applyBorder="1" applyAlignment="1">
      <alignment horizontal="left"/>
    </xf>
    <xf numFmtId="164" fontId="7" fillId="0" borderId="0" xfId="0" applyNumberFormat="1" applyFont="1"/>
    <xf numFmtId="164" fontId="7" fillId="0" borderId="13" xfId="0" applyNumberFormat="1" applyFont="1" applyBorder="1"/>
    <xf numFmtId="0" fontId="8" fillId="0" borderId="42" xfId="0" applyFont="1" applyBorder="1" applyAlignment="1">
      <alignment horizontal="centerContinuous" wrapText="1"/>
    </xf>
    <xf numFmtId="0" fontId="8" fillId="0" borderId="57" xfId="0" applyFont="1" applyBorder="1" applyAlignment="1">
      <alignment horizontal="centerContinuous" wrapText="1"/>
    </xf>
    <xf numFmtId="0" fontId="8" fillId="0" borderId="21" xfId="0" applyFont="1" applyBorder="1" applyAlignment="1">
      <alignment horizontal="centerContinuous" wrapText="1"/>
    </xf>
    <xf numFmtId="0" fontId="8" fillId="0" borderId="44" xfId="0" applyFont="1" applyBorder="1" applyAlignment="1">
      <alignment horizontal="centerContinuous" wrapText="1"/>
    </xf>
    <xf numFmtId="0" fontId="8" fillId="0" borderId="10" xfId="0" applyFont="1" applyBorder="1" applyAlignment="1">
      <alignment horizontal="center" wrapText="1"/>
    </xf>
    <xf numFmtId="0" fontId="8" fillId="0" borderId="60" xfId="0" applyFont="1" applyBorder="1" applyAlignment="1">
      <alignment horizontal="center" wrapText="1"/>
    </xf>
    <xf numFmtId="0" fontId="8" fillId="0" borderId="43" xfId="0" applyFont="1" applyBorder="1" applyAlignment="1">
      <alignment horizontal="center" wrapText="1"/>
    </xf>
    <xf numFmtId="9" fontId="8" fillId="0" borderId="43" xfId="151" applyFont="1" applyBorder="1" applyAlignment="1">
      <alignment horizontal="center" wrapText="1"/>
    </xf>
    <xf numFmtId="0" fontId="8" fillId="0" borderId="49" xfId="0" applyFont="1" applyBorder="1" applyAlignment="1">
      <alignment horizontal="center" wrapText="1"/>
    </xf>
    <xf numFmtId="0" fontId="8" fillId="0" borderId="59" xfId="0" applyFont="1" applyBorder="1" applyAlignment="1">
      <alignment horizontal="left"/>
    </xf>
    <xf numFmtId="0" fontId="7" fillId="0" borderId="36" xfId="0" applyFont="1" applyBorder="1" applyAlignment="1">
      <alignment horizontal="center"/>
    </xf>
    <xf numFmtId="170" fontId="7" fillId="0" borderId="22" xfId="151" applyNumberFormat="1" applyFont="1" applyBorder="1" applyAlignment="1">
      <alignment horizontal="center" wrapText="1"/>
    </xf>
    <xf numFmtId="170" fontId="8" fillId="0" borderId="36" xfId="151" applyNumberFormat="1" applyFont="1" applyBorder="1" applyAlignment="1">
      <alignment horizontal="center" wrapText="1"/>
    </xf>
    <xf numFmtId="0" fontId="7" fillId="0" borderId="11" xfId="0" applyFont="1" applyBorder="1" applyAlignment="1">
      <alignment horizontal="left"/>
    </xf>
    <xf numFmtId="170" fontId="8" fillId="0" borderId="37" xfId="151" applyNumberFormat="1" applyFont="1" applyBorder="1" applyAlignment="1">
      <alignment horizontal="center" wrapText="1"/>
    </xf>
    <xf numFmtId="174" fontId="8" fillId="0" borderId="64" xfId="0" applyNumberFormat="1" applyFont="1" applyBorder="1"/>
    <xf numFmtId="174" fontId="7" fillId="0" borderId="64" xfId="0" applyNumberFormat="1" applyFont="1" applyBorder="1"/>
    <xf numFmtId="170" fontId="7" fillId="0" borderId="36" xfId="151" applyNumberFormat="1" applyFont="1" applyBorder="1" applyAlignment="1">
      <alignment horizontal="center" wrapText="1"/>
    </xf>
    <xf numFmtId="174" fontId="7" fillId="0" borderId="10" xfId="0" applyNumberFormat="1" applyFont="1" applyBorder="1" applyProtection="1">
      <protection locked="0"/>
    </xf>
    <xf numFmtId="174" fontId="7" fillId="0" borderId="45" xfId="0" applyNumberFormat="1" applyFont="1" applyBorder="1" applyProtection="1">
      <protection locked="0"/>
    </xf>
    <xf numFmtId="170" fontId="8" fillId="0" borderId="29" xfId="151" applyNumberFormat="1" applyFont="1" applyBorder="1" applyAlignment="1">
      <alignment horizontal="center" wrapText="1"/>
    </xf>
    <xf numFmtId="170" fontId="8" fillId="0" borderId="0" xfId="151" applyNumberFormat="1" applyFont="1" applyAlignment="1">
      <alignment horizontal="center" wrapText="1"/>
    </xf>
    <xf numFmtId="174" fontId="8" fillId="0" borderId="13" xfId="0" applyNumberFormat="1" applyFont="1" applyBorder="1"/>
    <xf numFmtId="167" fontId="7" fillId="0" borderId="14" xfId="79" applyNumberFormat="1" applyFont="1" applyBorder="1"/>
    <xf numFmtId="167" fontId="7" fillId="0" borderId="17" xfId="79" applyNumberFormat="1" applyFont="1" applyBorder="1"/>
    <xf numFmtId="0" fontId="8" fillId="0" borderId="39" xfId="0" applyFont="1" applyBorder="1" applyAlignment="1">
      <alignment horizontal="centerContinuous" wrapText="1"/>
    </xf>
    <xf numFmtId="0" fontId="8" fillId="0" borderId="69" xfId="0" applyFont="1" applyBorder="1" applyAlignment="1">
      <alignment horizontal="centerContinuous" wrapText="1"/>
    </xf>
    <xf numFmtId="0" fontId="8" fillId="0" borderId="13" xfId="0" applyFont="1" applyBorder="1" applyAlignment="1">
      <alignment horizontal="center" wrapText="1"/>
    </xf>
    <xf numFmtId="0" fontId="8" fillId="0" borderId="16" xfId="0" applyFont="1" applyBorder="1" applyAlignment="1">
      <alignment horizontal="left" wrapText="1"/>
    </xf>
    <xf numFmtId="174" fontId="7" fillId="0" borderId="83" xfId="0" applyNumberFormat="1" applyFont="1" applyBorder="1"/>
    <xf numFmtId="174" fontId="8" fillId="0" borderId="45" xfId="0" applyNumberFormat="1" applyFont="1" applyBorder="1" applyAlignment="1">
      <alignment horizontal="right"/>
    </xf>
    <xf numFmtId="174" fontId="8" fillId="0" borderId="52" xfId="0" applyNumberFormat="1" applyFont="1" applyBorder="1" applyProtection="1">
      <protection locked="0"/>
    </xf>
    <xf numFmtId="174" fontId="8" fillId="0" borderId="43" xfId="0" applyNumberFormat="1" applyFont="1" applyBorder="1" applyProtection="1">
      <protection locked="0"/>
    </xf>
    <xf numFmtId="170" fontId="8" fillId="0" borderId="43" xfId="151" applyNumberFormat="1" applyFont="1" applyBorder="1" applyAlignment="1" applyProtection="1">
      <alignment horizontal="center" vertical="top" wrapText="1"/>
      <protection locked="0"/>
    </xf>
    <xf numFmtId="174" fontId="7" fillId="28" borderId="84" xfId="0" applyNumberFormat="1" applyFont="1" applyFill="1" applyBorder="1" applyProtection="1">
      <protection locked="0"/>
    </xf>
    <xf numFmtId="174" fontId="7" fillId="28" borderId="85" xfId="0" applyNumberFormat="1" applyFont="1" applyFill="1" applyBorder="1" applyProtection="1">
      <protection locked="0"/>
    </xf>
    <xf numFmtId="174" fontId="7" fillId="28" borderId="86" xfId="0" applyNumberFormat="1" applyFont="1" applyFill="1" applyBorder="1" applyProtection="1">
      <protection locked="0"/>
    </xf>
    <xf numFmtId="174" fontId="7" fillId="28" borderId="18" xfId="0" applyNumberFormat="1" applyFont="1" applyFill="1" applyBorder="1" applyProtection="1">
      <protection locked="0"/>
    </xf>
    <xf numFmtId="174" fontId="7" fillId="33" borderId="26" xfId="0" applyNumberFormat="1" applyFont="1" applyFill="1" applyBorder="1"/>
    <xf numFmtId="0" fontId="7" fillId="0" borderId="35" xfId="0" applyFont="1" applyBorder="1" applyAlignment="1">
      <alignment horizontal="center"/>
    </xf>
    <xf numFmtId="174" fontId="7" fillId="28" borderId="36" xfId="79" applyNumberFormat="1" applyFont="1" applyFill="1" applyBorder="1" applyProtection="1">
      <protection locked="0"/>
    </xf>
    <xf numFmtId="0" fontId="7" fillId="0" borderId="15" xfId="0" applyFont="1" applyBorder="1" applyAlignment="1">
      <alignment horizontal="center"/>
    </xf>
    <xf numFmtId="0" fontId="7" fillId="0" borderId="10" xfId="0" applyFont="1" applyBorder="1" applyAlignment="1">
      <alignment horizontal="center" vertical="center"/>
    </xf>
    <xf numFmtId="0" fontId="7" fillId="0" borderId="46" xfId="0" applyFont="1" applyBorder="1" applyAlignment="1">
      <alignment horizontal="center" vertical="center"/>
    </xf>
    <xf numFmtId="0" fontId="46" fillId="33" borderId="71" xfId="0" applyFont="1" applyFill="1" applyBorder="1" applyAlignment="1" applyProtection="1">
      <alignment horizontal="left" wrapText="1"/>
      <protection locked="0"/>
    </xf>
    <xf numFmtId="0" fontId="13" fillId="0" borderId="11" xfId="0" applyFont="1" applyBorder="1" applyAlignment="1">
      <alignment horizontal="center"/>
    </xf>
    <xf numFmtId="0" fontId="7" fillId="0" borderId="16" xfId="0" applyFont="1" applyBorder="1" applyAlignment="1">
      <alignment horizontal="center"/>
    </xf>
    <xf numFmtId="0" fontId="7" fillId="0" borderId="27" xfId="0" applyFont="1" applyBorder="1" applyAlignment="1">
      <alignment horizontal="center"/>
    </xf>
    <xf numFmtId="170" fontId="7" fillId="28" borderId="46" xfId="151" applyNumberFormat="1" applyFont="1" applyFill="1" applyBorder="1" applyAlignment="1" applyProtection="1">
      <alignment horizontal="center" vertical="top" wrapText="1"/>
      <protection locked="0"/>
    </xf>
    <xf numFmtId="170" fontId="7" fillId="0" borderId="13" xfId="151" applyNumberFormat="1" applyFont="1" applyBorder="1" applyAlignment="1">
      <alignment horizontal="center" vertical="top" wrapText="1"/>
    </xf>
    <xf numFmtId="170" fontId="7" fillId="28" borderId="10" xfId="151" applyNumberFormat="1" applyFont="1" applyFill="1" applyBorder="1" applyAlignment="1" applyProtection="1">
      <alignment horizontal="center" vertical="top" wrapText="1"/>
      <protection locked="0"/>
    </xf>
    <xf numFmtId="170" fontId="7" fillId="28" borderId="19" xfId="151" applyNumberFormat="1" applyFont="1" applyFill="1" applyBorder="1" applyAlignment="1" applyProtection="1">
      <alignment horizontal="center" vertical="top" wrapText="1"/>
      <protection locked="0"/>
    </xf>
    <xf numFmtId="9" fontId="7" fillId="0" borderId="25" xfId="0" applyNumberFormat="1" applyFont="1" applyBorder="1" applyAlignment="1">
      <alignment horizontal="center" vertical="top"/>
    </xf>
    <xf numFmtId="170" fontId="7" fillId="0" borderId="26" xfId="151" applyNumberFormat="1" applyFont="1" applyBorder="1" applyAlignment="1">
      <alignment horizontal="center" vertical="top" wrapText="1"/>
    </xf>
    <xf numFmtId="170" fontId="7" fillId="28" borderId="26" xfId="151" applyNumberFormat="1" applyFont="1" applyFill="1" applyBorder="1" applyAlignment="1" applyProtection="1">
      <alignment horizontal="center" vertical="top" wrapText="1"/>
      <protection locked="0"/>
    </xf>
    <xf numFmtId="170" fontId="7" fillId="28" borderId="33" xfId="151" applyNumberFormat="1" applyFont="1" applyFill="1" applyBorder="1" applyAlignment="1" applyProtection="1">
      <alignment horizontal="center" vertical="top" wrapText="1"/>
      <protection locked="0"/>
    </xf>
    <xf numFmtId="170" fontId="7" fillId="28" borderId="50" xfId="151" applyNumberFormat="1" applyFont="1" applyFill="1" applyBorder="1" applyAlignment="1" applyProtection="1">
      <alignment horizontal="center" vertical="top" wrapText="1"/>
      <protection locked="0"/>
    </xf>
    <xf numFmtId="171" fontId="7" fillId="0" borderId="39" xfId="0" applyNumberFormat="1" applyFont="1" applyBorder="1"/>
    <xf numFmtId="171" fontId="7" fillId="28" borderId="10" xfId="0" applyNumberFormat="1" applyFont="1" applyFill="1" applyBorder="1" applyProtection="1">
      <protection locked="0"/>
    </xf>
    <xf numFmtId="171" fontId="7" fillId="0" borderId="10" xfId="79" applyNumberFormat="1" applyFont="1" applyBorder="1"/>
    <xf numFmtId="171" fontId="7" fillId="28" borderId="10" xfId="79" applyNumberFormat="1" applyFont="1" applyFill="1" applyBorder="1" applyProtection="1">
      <protection locked="0"/>
    </xf>
    <xf numFmtId="171" fontId="7" fillId="28" borderId="19" xfId="79" applyNumberFormat="1" applyFont="1" applyFill="1" applyBorder="1" applyProtection="1">
      <protection locked="0"/>
    </xf>
    <xf numFmtId="171" fontId="7" fillId="0" borderId="25" xfId="0" applyNumberFormat="1" applyFont="1" applyBorder="1"/>
    <xf numFmtId="171" fontId="7" fillId="0" borderId="23" xfId="0" applyNumberFormat="1" applyFont="1" applyBorder="1"/>
    <xf numFmtId="171" fontId="7" fillId="0" borderId="53" xfId="0" applyNumberFormat="1" applyFont="1" applyBorder="1"/>
    <xf numFmtId="171" fontId="7" fillId="28" borderId="26" xfId="0" applyNumberFormat="1" applyFont="1" applyFill="1" applyBorder="1" applyProtection="1">
      <protection locked="0"/>
    </xf>
    <xf numFmtId="171" fontId="7" fillId="28" borderId="22" xfId="0" applyNumberFormat="1" applyFont="1" applyFill="1" applyBorder="1" applyProtection="1">
      <protection locked="0"/>
    </xf>
    <xf numFmtId="171" fontId="7" fillId="28" borderId="46" xfId="0" applyNumberFormat="1" applyFont="1" applyFill="1" applyBorder="1" applyProtection="1">
      <protection locked="0"/>
    </xf>
    <xf numFmtId="171" fontId="7" fillId="0" borderId="26" xfId="79" applyNumberFormat="1" applyFont="1" applyBorder="1"/>
    <xf numFmtId="171" fontId="7" fillId="0" borderId="22" xfId="79" applyNumberFormat="1" applyFont="1" applyBorder="1"/>
    <xf numFmtId="171" fontId="7" fillId="0" borderId="46" xfId="79" applyNumberFormat="1" applyFont="1" applyBorder="1"/>
    <xf numFmtId="171" fontId="7" fillId="28" borderId="26" xfId="79" applyNumberFormat="1" applyFont="1" applyFill="1" applyBorder="1" applyProtection="1">
      <protection locked="0"/>
    </xf>
    <xf numFmtId="171" fontId="7" fillId="28" borderId="22" xfId="79" applyNumberFormat="1" applyFont="1" applyFill="1" applyBorder="1" applyProtection="1">
      <protection locked="0"/>
    </xf>
    <xf numFmtId="171" fontId="7" fillId="28" borderId="46" xfId="79" applyNumberFormat="1" applyFont="1" applyFill="1" applyBorder="1" applyProtection="1">
      <protection locked="0"/>
    </xf>
    <xf numFmtId="171" fontId="7" fillId="28" borderId="33" xfId="0" applyNumberFormat="1" applyFont="1" applyFill="1" applyBorder="1" applyProtection="1">
      <protection locked="0"/>
    </xf>
    <xf numFmtId="171" fontId="7" fillId="28" borderId="24" xfId="0" applyNumberFormat="1" applyFont="1" applyFill="1" applyBorder="1" applyProtection="1">
      <protection locked="0"/>
    </xf>
    <xf numFmtId="171" fontId="7" fillId="28" borderId="50" xfId="0" applyNumberFormat="1" applyFont="1" applyFill="1" applyBorder="1" applyProtection="1">
      <protection locked="0"/>
    </xf>
    <xf numFmtId="0" fontId="8" fillId="0" borderId="0" xfId="0" applyFont="1" applyAlignment="1">
      <alignment vertical="center" wrapText="1"/>
    </xf>
    <xf numFmtId="0" fontId="6" fillId="0" borderId="70" xfId="0" applyFont="1" applyBorder="1"/>
    <xf numFmtId="0" fontId="6" fillId="0" borderId="18" xfId="0" applyFont="1" applyBorder="1"/>
    <xf numFmtId="174" fontId="7" fillId="28" borderId="22" xfId="0" quotePrefix="1" applyNumberFormat="1" applyFont="1" applyFill="1" applyBorder="1" applyProtection="1">
      <protection locked="0"/>
    </xf>
    <xf numFmtId="165" fontId="7" fillId="0" borderId="0" xfId="0" applyNumberFormat="1" applyFont="1" applyAlignment="1">
      <alignment horizontal="left"/>
    </xf>
    <xf numFmtId="9" fontId="8" fillId="0" borderId="43" xfId="0" applyNumberFormat="1" applyFont="1" applyBorder="1"/>
    <xf numFmtId="9" fontId="8" fillId="0" borderId="22" xfId="0" applyNumberFormat="1" applyFont="1" applyBorder="1"/>
    <xf numFmtId="0" fontId="8" fillId="0" borderId="39" xfId="0" applyFont="1" applyBorder="1" applyAlignment="1">
      <alignment horizontal="center" vertical="center" wrapText="1"/>
    </xf>
    <xf numFmtId="174" fontId="7" fillId="28" borderId="26" xfId="79" applyNumberFormat="1" applyFont="1" applyFill="1" applyBorder="1" applyProtection="1">
      <protection locked="0"/>
    </xf>
    <xf numFmtId="174" fontId="7" fillId="28" borderId="63" xfId="79" applyNumberFormat="1" applyFont="1" applyFill="1" applyBorder="1" applyProtection="1">
      <protection locked="0"/>
    </xf>
    <xf numFmtId="174" fontId="7" fillId="28" borderId="51" xfId="79" applyNumberFormat="1" applyFont="1" applyFill="1" applyBorder="1" applyProtection="1">
      <protection locked="0"/>
    </xf>
    <xf numFmtId="174" fontId="7" fillId="33" borderId="26" xfId="0" applyNumberFormat="1" applyFont="1" applyFill="1" applyBorder="1" applyProtection="1">
      <protection locked="0"/>
    </xf>
    <xf numFmtId="174" fontId="7" fillId="33" borderId="22" xfId="0" applyNumberFormat="1" applyFont="1" applyFill="1" applyBorder="1"/>
    <xf numFmtId="174" fontId="7" fillId="33" borderId="46" xfId="0" applyNumberFormat="1" applyFont="1" applyFill="1" applyBorder="1" applyProtection="1">
      <protection locked="0"/>
    </xf>
    <xf numFmtId="0" fontId="46" fillId="28" borderId="71" xfId="0" applyFont="1" applyFill="1" applyBorder="1" applyAlignment="1" applyProtection="1">
      <alignment horizontal="left" vertical="center" wrapText="1"/>
      <protection locked="0"/>
    </xf>
    <xf numFmtId="0" fontId="46" fillId="28" borderId="71" xfId="0" applyFont="1" applyFill="1" applyBorder="1" applyAlignment="1" applyProtection="1">
      <alignment vertical="center" wrapText="1"/>
      <protection locked="0"/>
    </xf>
    <xf numFmtId="174" fontId="7" fillId="33" borderId="22" xfId="0" applyNumberFormat="1" applyFont="1" applyFill="1" applyBorder="1" applyProtection="1">
      <protection locked="0"/>
    </xf>
    <xf numFmtId="174" fontId="8" fillId="0" borderId="71" xfId="0" applyNumberFormat="1" applyFont="1" applyBorder="1"/>
    <xf numFmtId="174" fontId="7" fillId="0" borderId="0" xfId="0" applyNumberFormat="1" applyFont="1" applyProtection="1">
      <protection locked="0"/>
    </xf>
    <xf numFmtId="0" fontId="7" fillId="0" borderId="0" xfId="0" applyNumberFormat="1" applyFont="1"/>
    <xf numFmtId="9" fontId="46" fillId="28" borderId="71" xfId="0" applyNumberFormat="1" applyFont="1" applyFill="1" applyBorder="1" applyAlignment="1" applyProtection="1">
      <alignment horizontal="center" vertical="center" wrapText="1"/>
      <protection locked="0"/>
    </xf>
    <xf numFmtId="174" fontId="7" fillId="33" borderId="22" xfId="126" applyNumberFormat="1" applyFont="1" applyFill="1" applyBorder="1" applyAlignment="1" applyProtection="1">
      <alignment horizontal="right"/>
      <protection locked="0"/>
    </xf>
    <xf numFmtId="174" fontId="7" fillId="33" borderId="0" xfId="126" applyNumberFormat="1" applyFont="1" applyFill="1" applyBorder="1" applyAlignment="1" applyProtection="1">
      <alignment horizontal="right"/>
      <protection locked="0"/>
    </xf>
    <xf numFmtId="174" fontId="7" fillId="33" borderId="22" xfId="126" applyNumberFormat="1" applyFont="1" applyFill="1" applyBorder="1" applyAlignment="1" applyProtection="1">
      <alignment horizontal="right"/>
      <protection locked="0"/>
    </xf>
    <xf numFmtId="174" fontId="7" fillId="33" borderId="0" xfId="126" applyNumberFormat="1" applyFont="1" applyFill="1" applyBorder="1" applyAlignment="1" applyProtection="1">
      <alignment horizontal="right"/>
      <protection locked="0"/>
    </xf>
    <xf numFmtId="174" fontId="7" fillId="33" borderId="22" xfId="126" applyNumberFormat="1" applyFont="1" applyFill="1" applyBorder="1" applyAlignment="1" applyProtection="1">
      <alignment horizontal="right"/>
      <protection locked="0"/>
    </xf>
    <xf numFmtId="174" fontId="7" fillId="33" borderId="0" xfId="126" applyNumberFormat="1" applyFont="1" applyFill="1" applyBorder="1" applyAlignment="1" applyProtection="1">
      <alignment horizontal="right"/>
      <protection locked="0"/>
    </xf>
    <xf numFmtId="174" fontId="7" fillId="33" borderId="22" xfId="126" applyNumberFormat="1" applyFont="1" applyFill="1" applyBorder="1" applyAlignment="1" applyProtection="1">
      <alignment horizontal="right"/>
      <protection locked="0"/>
    </xf>
    <xf numFmtId="174" fontId="7" fillId="33" borderId="0" xfId="126" applyNumberFormat="1" applyFont="1" applyFill="1" applyBorder="1" applyAlignment="1" applyProtection="1">
      <alignment horizontal="right"/>
      <protection locked="0"/>
    </xf>
    <xf numFmtId="174" fontId="7" fillId="33" borderId="22" xfId="126" applyNumberFormat="1" applyFont="1" applyFill="1" applyBorder="1" applyAlignment="1" applyProtection="1">
      <alignment horizontal="right"/>
      <protection locked="0"/>
    </xf>
    <xf numFmtId="174" fontId="7" fillId="33" borderId="0" xfId="126" applyNumberFormat="1" applyFont="1" applyFill="1" applyBorder="1" applyAlignment="1" applyProtection="1">
      <alignment horizontal="right"/>
      <protection locked="0"/>
    </xf>
    <xf numFmtId="174" fontId="7" fillId="33" borderId="22" xfId="126" applyNumberFormat="1" applyFont="1" applyFill="1" applyBorder="1" applyAlignment="1" applyProtection="1">
      <alignment horizontal="right"/>
      <protection locked="0"/>
    </xf>
    <xf numFmtId="174" fontId="7" fillId="33" borderId="0" xfId="126" applyNumberFormat="1" applyFont="1" applyFill="1" applyBorder="1" applyAlignment="1" applyProtection="1">
      <alignment horizontal="right"/>
      <protection locked="0"/>
    </xf>
    <xf numFmtId="174" fontId="7" fillId="33" borderId="22" xfId="126" applyNumberFormat="1" applyFont="1" applyFill="1" applyBorder="1" applyProtection="1">
      <protection locked="0"/>
    </xf>
    <xf numFmtId="174" fontId="7" fillId="33" borderId="0" xfId="126" applyNumberFormat="1" applyFont="1" applyFill="1" applyBorder="1" applyProtection="1">
      <protection locked="0"/>
    </xf>
    <xf numFmtId="174" fontId="7" fillId="33" borderId="22" xfId="126" applyNumberFormat="1" applyFont="1" applyFill="1" applyBorder="1" applyProtection="1">
      <protection locked="0"/>
    </xf>
    <xf numFmtId="174" fontId="7" fillId="33" borderId="0" xfId="126" applyNumberFormat="1" applyFont="1" applyFill="1" applyBorder="1" applyProtection="1">
      <protection locked="0"/>
    </xf>
    <xf numFmtId="174" fontId="7" fillId="28" borderId="22" xfId="126" applyNumberFormat="1" applyFont="1" applyFill="1" applyBorder="1" applyProtection="1">
      <protection locked="0"/>
    </xf>
    <xf numFmtId="174" fontId="7" fillId="28" borderId="0" xfId="126" applyNumberFormat="1" applyFont="1" applyFill="1" applyBorder="1" applyProtection="1">
      <protection locked="0"/>
    </xf>
    <xf numFmtId="174" fontId="7" fillId="33" borderId="22" xfId="126" applyNumberFormat="1" applyFont="1" applyFill="1" applyBorder="1" applyProtection="1">
      <protection locked="0"/>
    </xf>
    <xf numFmtId="174" fontId="7" fillId="33" borderId="0" xfId="126" applyNumberFormat="1" applyFont="1" applyFill="1" applyBorder="1" applyProtection="1">
      <protection locked="0"/>
    </xf>
    <xf numFmtId="174" fontId="7" fillId="28" borderId="22" xfId="126" applyNumberFormat="1" applyFont="1" applyFill="1" applyBorder="1" applyProtection="1">
      <protection locked="0"/>
    </xf>
    <xf numFmtId="174" fontId="7" fillId="28" borderId="0" xfId="126" applyNumberFormat="1" applyFont="1" applyFill="1" applyBorder="1" applyProtection="1">
      <protection locked="0"/>
    </xf>
    <xf numFmtId="174" fontId="7" fillId="28" borderId="22" xfId="126" applyNumberFormat="1" applyFont="1" applyFill="1" applyBorder="1" applyProtection="1">
      <protection locked="0"/>
    </xf>
    <xf numFmtId="174" fontId="7" fillId="28" borderId="0" xfId="126" applyNumberFormat="1" applyFont="1" applyFill="1" applyBorder="1" applyProtection="1">
      <protection locked="0"/>
    </xf>
    <xf numFmtId="174" fontId="7" fillId="28" borderId="22" xfId="126" applyNumberFormat="1" applyFont="1" applyFill="1" applyBorder="1" applyProtection="1">
      <protection locked="0"/>
    </xf>
    <xf numFmtId="174" fontId="7" fillId="28" borderId="0" xfId="126" applyNumberFormat="1" applyFont="1" applyFill="1" applyBorder="1" applyProtection="1">
      <protection locked="0"/>
    </xf>
    <xf numFmtId="174" fontId="7" fillId="33" borderId="22" xfId="126" applyNumberFormat="1" applyFont="1" applyFill="1" applyBorder="1" applyProtection="1">
      <protection locked="0"/>
    </xf>
    <xf numFmtId="174" fontId="7" fillId="33" borderId="22" xfId="126" applyNumberFormat="1" applyFont="1" applyFill="1" applyBorder="1" applyProtection="1">
      <protection locked="0"/>
    </xf>
    <xf numFmtId="174" fontId="7" fillId="33" borderId="22" xfId="126" applyNumberFormat="1" applyFont="1" applyFill="1" applyBorder="1" applyProtection="1">
      <protection locked="0"/>
    </xf>
    <xf numFmtId="174" fontId="7" fillId="33" borderId="36" xfId="126" applyNumberFormat="1" applyFont="1" applyFill="1" applyBorder="1" applyProtection="1">
      <protection locked="0"/>
    </xf>
    <xf numFmtId="0" fontId="4" fillId="31" borderId="66" xfId="0" applyFont="1" applyFill="1" applyBorder="1" applyAlignment="1">
      <alignment horizontal="center"/>
    </xf>
    <xf numFmtId="0" fontId="4" fillId="31" borderId="70" xfId="0" applyFont="1" applyFill="1" applyBorder="1" applyAlignment="1">
      <alignment horizontal="center"/>
    </xf>
    <xf numFmtId="0" fontId="4" fillId="31" borderId="18" xfId="0" applyFont="1" applyFill="1" applyBorder="1" applyAlignment="1">
      <alignment horizontal="center"/>
    </xf>
    <xf numFmtId="0" fontId="4" fillId="24" borderId="66" xfId="0" applyFont="1" applyFill="1" applyBorder="1" applyAlignment="1">
      <alignment horizontal="center"/>
    </xf>
    <xf numFmtId="0" fontId="4" fillId="24" borderId="70" xfId="0" applyFont="1" applyFill="1" applyBorder="1" applyAlignment="1">
      <alignment horizontal="center"/>
    </xf>
    <xf numFmtId="0" fontId="4" fillId="32" borderId="66" xfId="0" applyFont="1" applyFill="1" applyBorder="1" applyAlignment="1">
      <alignment horizontal="center"/>
    </xf>
    <xf numFmtId="0" fontId="4" fillId="32" borderId="70" xfId="0" applyFont="1" applyFill="1" applyBorder="1" applyAlignment="1">
      <alignment horizontal="center"/>
    </xf>
    <xf numFmtId="0" fontId="4" fillId="32" borderId="18" xfId="0" applyFont="1" applyFill="1" applyBorder="1" applyAlignment="1">
      <alignment horizontal="center"/>
    </xf>
    <xf numFmtId="0" fontId="6" fillId="0" borderId="87" xfId="0" applyFont="1" applyBorder="1" applyAlignment="1">
      <alignment horizontal="justify" wrapText="1"/>
    </xf>
    <xf numFmtId="0" fontId="17" fillId="0" borderId="88" xfId="0" applyFont="1" applyBorder="1" applyAlignment="1">
      <alignment horizontal="justify" wrapText="1"/>
    </xf>
    <xf numFmtId="0" fontId="6" fillId="0" borderId="66" xfId="0" applyFont="1" applyBorder="1" applyAlignment="1">
      <alignment horizontal="justify" wrapText="1"/>
    </xf>
    <xf numFmtId="0" fontId="17" fillId="0" borderId="18" xfId="0" applyFont="1" applyBorder="1" applyAlignment="1">
      <alignment horizontal="justify" wrapText="1"/>
    </xf>
    <xf numFmtId="0" fontId="6" fillId="0" borderId="0" xfId="0" applyFont="1" applyAlignment="1">
      <alignment horizontal="justify" vertical="top" wrapText="1"/>
    </xf>
    <xf numFmtId="0" fontId="11"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justify" vertical="top" wrapText="1"/>
    </xf>
    <xf numFmtId="0" fontId="42" fillId="0" borderId="91" xfId="0" applyFont="1" applyBorder="1" applyAlignment="1">
      <alignment horizontal="justify" vertical="center" wrapText="1"/>
    </xf>
    <xf numFmtId="0" fontId="43" fillId="0" borderId="91" xfId="0" applyFont="1" applyBorder="1" applyAlignment="1">
      <alignment horizontal="justify" vertical="center" wrapText="1"/>
    </xf>
    <xf numFmtId="0" fontId="42" fillId="0" borderId="89" xfId="0" applyFont="1" applyBorder="1" applyAlignment="1">
      <alignment horizontal="justify" vertical="center"/>
    </xf>
    <xf numFmtId="0" fontId="17" fillId="0" borderId="90" xfId="0" applyFont="1" applyBorder="1" applyAlignment="1">
      <alignment horizontal="justify" vertical="center"/>
    </xf>
    <xf numFmtId="0" fontId="6" fillId="0" borderId="89" xfId="0" applyFont="1" applyBorder="1" applyAlignment="1">
      <alignment horizontal="justify" vertical="center" wrapText="1"/>
    </xf>
    <xf numFmtId="0" fontId="17" fillId="0" borderId="90" xfId="0" applyFont="1" applyBorder="1" applyAlignment="1">
      <alignment horizontal="justify" vertical="center" wrapText="1"/>
    </xf>
    <xf numFmtId="0" fontId="42" fillId="0" borderId="89" xfId="0" applyFont="1" applyBorder="1" applyAlignment="1">
      <alignment horizontal="justify" vertical="center" wrapText="1"/>
    </xf>
    <xf numFmtId="0" fontId="42" fillId="0" borderId="90" xfId="0" applyFont="1" applyBorder="1" applyAlignment="1">
      <alignment horizontal="justify" vertical="center" wrapText="1"/>
    </xf>
    <xf numFmtId="49" fontId="6" fillId="0" borderId="66" xfId="0" applyNumberFormat="1" applyFont="1" applyBorder="1" applyAlignment="1">
      <alignment horizontal="justify" wrapText="1"/>
    </xf>
    <xf numFmtId="49" fontId="17" fillId="0" borderId="18" xfId="0" applyNumberFormat="1" applyFont="1" applyBorder="1" applyAlignment="1">
      <alignment horizontal="justify" wrapText="1"/>
    </xf>
    <xf numFmtId="0" fontId="6" fillId="0" borderId="90" xfId="0" applyFont="1" applyBorder="1" applyAlignment="1">
      <alignment horizontal="justify" vertical="center" wrapText="1"/>
    </xf>
    <xf numFmtId="0" fontId="6" fillId="0" borderId="88" xfId="0" applyFont="1" applyBorder="1" applyAlignment="1">
      <alignment horizontal="justify" wrapText="1"/>
    </xf>
    <xf numFmtId="0" fontId="6" fillId="0" borderId="18" xfId="0" applyFont="1" applyBorder="1" applyAlignment="1">
      <alignment horizontal="justify" wrapText="1"/>
    </xf>
    <xf numFmtId="0" fontId="11" fillId="0" borderId="0" xfId="0" applyFont="1" applyAlignment="1">
      <alignment horizontal="left" wrapText="1"/>
    </xf>
    <xf numFmtId="0" fontId="8" fillId="0" borderId="39" xfId="0" applyFont="1" applyBorder="1" applyAlignment="1">
      <alignment horizontal="center" vertical="center"/>
    </xf>
    <xf numFmtId="0" fontId="39" fillId="0" borderId="10" xfId="0" applyFont="1" applyBorder="1"/>
    <xf numFmtId="0" fontId="8" fillId="0" borderId="92"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6" fillId="0" borderId="66" xfId="0" applyFont="1" applyBorder="1" applyAlignment="1">
      <alignment horizontal="left" wrapText="1"/>
    </xf>
    <xf numFmtId="0" fontId="6" fillId="0" borderId="70" xfId="0" applyFont="1" applyBorder="1" applyAlignment="1">
      <alignment horizontal="left" wrapText="1"/>
    </xf>
    <xf numFmtId="0" fontId="6" fillId="0" borderId="18" xfId="0" applyFont="1" applyBorder="1" applyAlignment="1">
      <alignment horizontal="left"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8" fillId="0" borderId="53" xfId="0" applyFont="1" applyBorder="1" applyAlignment="1">
      <alignment horizontal="center" vertical="center"/>
    </xf>
    <xf numFmtId="0" fontId="8" fillId="0" borderId="46" xfId="0" applyFont="1" applyBorder="1" applyAlignment="1">
      <alignment horizontal="center" vertical="center"/>
    </xf>
    <xf numFmtId="0" fontId="6" fillId="0" borderId="66" xfId="0" applyFont="1" applyBorder="1" applyAlignment="1">
      <alignment horizontal="left"/>
    </xf>
    <xf numFmtId="0" fontId="6" fillId="0" borderId="70" xfId="0" applyFont="1" applyBorder="1" applyAlignment="1">
      <alignment horizontal="left"/>
    </xf>
    <xf numFmtId="0" fontId="6" fillId="0" borderId="18" xfId="0" applyFont="1" applyBorder="1" applyAlignment="1">
      <alignment horizontal="left"/>
    </xf>
    <xf numFmtId="0" fontId="11" fillId="0" borderId="11" xfId="0" quotePrefix="1" applyFont="1" applyBorder="1" applyAlignment="1">
      <alignment horizontal="left" wrapText="1"/>
    </xf>
    <xf numFmtId="0" fontId="11" fillId="0" borderId="0" xfId="0" quotePrefix="1" applyFont="1" applyAlignment="1">
      <alignment horizontal="left" wrapText="1"/>
    </xf>
    <xf numFmtId="0" fontId="11" fillId="0" borderId="13" xfId="0" quotePrefix="1" applyFont="1" applyBorder="1" applyAlignment="1">
      <alignment horizontal="left" wrapText="1"/>
    </xf>
    <xf numFmtId="0" fontId="11" fillId="0" borderId="11" xfId="0" applyFont="1" applyBorder="1" applyAlignment="1">
      <alignment horizontal="left" wrapText="1"/>
    </xf>
    <xf numFmtId="0" fontId="8" fillId="24" borderId="70" xfId="0" applyFont="1" applyFill="1" applyBorder="1" applyAlignment="1">
      <alignment horizontal="center" vertical="center" wrapText="1"/>
    </xf>
    <xf numFmtId="0" fontId="39" fillId="0" borderId="70" xfId="0" applyFont="1" applyBorder="1"/>
    <xf numFmtId="0" fontId="39" fillId="0" borderId="18" xfId="0" applyFont="1" applyBorder="1"/>
    <xf numFmtId="0" fontId="11" fillId="0" borderId="0" xfId="0" applyFont="1" applyAlignment="1">
      <alignment wrapText="1"/>
    </xf>
    <xf numFmtId="0" fontId="6" fillId="0" borderId="14" xfId="0" applyFont="1" applyBorder="1" applyAlignment="1">
      <alignment horizontal="left" vertical="top" wrapText="1"/>
    </xf>
    <xf numFmtId="0" fontId="6" fillId="0" borderId="14" xfId="0" applyFont="1" applyBorder="1" applyAlignment="1">
      <alignment horizontal="left"/>
    </xf>
    <xf numFmtId="0" fontId="8" fillId="0" borderId="39" xfId="0" applyFont="1" applyBorder="1" applyAlignment="1">
      <alignment horizontal="center" wrapText="1"/>
    </xf>
    <xf numFmtId="0" fontId="8" fillId="0" borderId="10" xfId="0" applyFont="1" applyBorder="1" applyAlignment="1">
      <alignment horizontal="center" wrapText="1"/>
    </xf>
    <xf numFmtId="0" fontId="8" fillId="0" borderId="15" xfId="0" applyFont="1" applyBorder="1" applyAlignment="1">
      <alignment horizontal="center" wrapText="1"/>
    </xf>
    <xf numFmtId="0" fontId="8" fillId="0" borderId="11" xfId="0" applyFont="1" applyBorder="1" applyAlignment="1">
      <alignment horizont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2" xfId="0" applyFont="1" applyBorder="1" applyAlignment="1">
      <alignment horizontal="center" wrapText="1"/>
    </xf>
    <xf numFmtId="0" fontId="8" fillId="0" borderId="41" xfId="0" applyFont="1" applyBorder="1" applyAlignment="1">
      <alignment horizontal="center" wrapText="1"/>
    </xf>
    <xf numFmtId="0" fontId="8" fillId="0" borderId="20" xfId="0" applyFont="1" applyBorder="1" applyAlignment="1">
      <alignment horizontal="center" wrapText="1"/>
    </xf>
    <xf numFmtId="0" fontId="39" fillId="0" borderId="11" xfId="0" applyFont="1" applyBorder="1"/>
    <xf numFmtId="0" fontId="8" fillId="0" borderId="3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9"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8" fillId="0" borderId="53" xfId="0" applyFont="1" applyBorder="1" applyAlignment="1">
      <alignment horizontal="center" vertical="top" wrapText="1"/>
    </xf>
    <xf numFmtId="0" fontId="8" fillId="0" borderId="50" xfId="0" applyFont="1" applyBorder="1" applyAlignment="1">
      <alignment horizontal="center" vertical="top" wrapText="1"/>
    </xf>
    <xf numFmtId="0" fontId="8" fillId="0" borderId="22"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15" xfId="0" applyFont="1" applyBorder="1" applyAlignment="1">
      <alignment horizontal="center"/>
    </xf>
    <xf numFmtId="0" fontId="8" fillId="0" borderId="11" xfId="0" applyFont="1" applyBorder="1" applyAlignment="1">
      <alignment horizontal="center"/>
    </xf>
    <xf numFmtId="0" fontId="8" fillId="0" borderId="39" xfId="0" applyFont="1" applyBorder="1" applyAlignment="1">
      <alignment horizontal="center"/>
    </xf>
    <xf numFmtId="0" fontId="8" fillId="0" borderId="10" xfId="0" applyFont="1" applyBorder="1" applyAlignment="1">
      <alignment horizontal="center"/>
    </xf>
  </cellXfs>
  <cellStyles count="167">
    <cellStyle name="20% - Accent1" xfId="1" builtinId="30" customBuiltin="1"/>
    <cellStyle name="20% - Accent1 2" xfId="2" xr:uid="{00000000-0005-0000-0000-000001000000}"/>
    <cellStyle name="20% - Accent1 3" xfId="3" xr:uid="{00000000-0005-0000-0000-000002000000}"/>
    <cellStyle name="20% - Accent1 4" xfId="4" xr:uid="{00000000-0005-0000-0000-000003000000}"/>
    <cellStyle name="20% - Accent2" xfId="5" builtinId="34" customBuiltin="1"/>
    <cellStyle name="20% - Accent2 2" xfId="6" xr:uid="{00000000-0005-0000-0000-000005000000}"/>
    <cellStyle name="20% - Accent2 3" xfId="7" xr:uid="{00000000-0005-0000-0000-000006000000}"/>
    <cellStyle name="20% - Accent2 4" xfId="8" xr:uid="{00000000-0005-0000-0000-000007000000}"/>
    <cellStyle name="20% - Accent3" xfId="9" builtinId="38" customBuiltin="1"/>
    <cellStyle name="20% - Accent3 2" xfId="10" xr:uid="{00000000-0005-0000-0000-000009000000}"/>
    <cellStyle name="20% - Accent3 3" xfId="11" xr:uid="{00000000-0005-0000-0000-00000A000000}"/>
    <cellStyle name="20% - Accent3 4" xfId="12" xr:uid="{00000000-0005-0000-0000-00000B000000}"/>
    <cellStyle name="20% - Accent4" xfId="13" builtinId="42" customBuiltin="1"/>
    <cellStyle name="20% - Accent4 2" xfId="14" xr:uid="{00000000-0005-0000-0000-00000D000000}"/>
    <cellStyle name="20% - Accent4 3" xfId="15" xr:uid="{00000000-0005-0000-0000-00000E000000}"/>
    <cellStyle name="20% - Accent4 4" xfId="16" xr:uid="{00000000-0005-0000-0000-00000F000000}"/>
    <cellStyle name="20% - Accent5" xfId="17" builtinId="46" customBuiltin="1"/>
    <cellStyle name="20% - Accent5 2" xfId="18" xr:uid="{00000000-0005-0000-0000-000011000000}"/>
    <cellStyle name="20% - Accent5 3" xfId="19" xr:uid="{00000000-0005-0000-0000-000012000000}"/>
    <cellStyle name="20% - Accent5 4" xfId="20" xr:uid="{00000000-0005-0000-0000-000013000000}"/>
    <cellStyle name="20% - Accent6" xfId="21" builtinId="50" customBuiltin="1"/>
    <cellStyle name="20% - Accent6 2" xfId="22" xr:uid="{00000000-0005-0000-0000-000015000000}"/>
    <cellStyle name="20% - Accent6 3" xfId="23" xr:uid="{00000000-0005-0000-0000-000016000000}"/>
    <cellStyle name="20% - Accent6 4" xfId="24" xr:uid="{00000000-0005-0000-0000-000017000000}"/>
    <cellStyle name="40% - Accent1" xfId="25" builtinId="31" customBuiltin="1"/>
    <cellStyle name="40% - Accent1 2" xfId="26" xr:uid="{00000000-0005-0000-0000-000019000000}"/>
    <cellStyle name="40% - Accent1 3" xfId="27" xr:uid="{00000000-0005-0000-0000-00001A000000}"/>
    <cellStyle name="40% - Accent1 4" xfId="28" xr:uid="{00000000-0005-0000-0000-00001B000000}"/>
    <cellStyle name="40% - Accent2" xfId="29" builtinId="35" customBuiltin="1"/>
    <cellStyle name="40% - Accent2 2" xfId="30" xr:uid="{00000000-0005-0000-0000-00001D000000}"/>
    <cellStyle name="40% - Accent2 3" xfId="31" xr:uid="{00000000-0005-0000-0000-00001E000000}"/>
    <cellStyle name="40% - Accent2 4" xfId="32" xr:uid="{00000000-0005-0000-0000-00001F000000}"/>
    <cellStyle name="40% - Accent3" xfId="33" builtinId="39" customBuiltin="1"/>
    <cellStyle name="40% - Accent3 2" xfId="34" xr:uid="{00000000-0005-0000-0000-000021000000}"/>
    <cellStyle name="40% - Accent3 3" xfId="35" xr:uid="{00000000-0005-0000-0000-000022000000}"/>
    <cellStyle name="40% - Accent3 4" xfId="36" xr:uid="{00000000-0005-0000-0000-000023000000}"/>
    <cellStyle name="40% - Accent4" xfId="37" builtinId="43" customBuiltin="1"/>
    <cellStyle name="40% - Accent4 2" xfId="38" xr:uid="{00000000-0005-0000-0000-000025000000}"/>
    <cellStyle name="40% - Accent4 3" xfId="39" xr:uid="{00000000-0005-0000-0000-000026000000}"/>
    <cellStyle name="40% - Accent4 4" xfId="40" xr:uid="{00000000-0005-0000-0000-000027000000}"/>
    <cellStyle name="40% - Accent5" xfId="41" builtinId="47" customBuiltin="1"/>
    <cellStyle name="40% - Accent5 2" xfId="42" xr:uid="{00000000-0005-0000-0000-000029000000}"/>
    <cellStyle name="40% - Accent5 3" xfId="43" xr:uid="{00000000-0005-0000-0000-00002A000000}"/>
    <cellStyle name="40% - Accent5 4" xfId="44" xr:uid="{00000000-0005-0000-0000-00002B000000}"/>
    <cellStyle name="40% - Accent6" xfId="45" builtinId="51" customBuiltin="1"/>
    <cellStyle name="40% - Accent6 2" xfId="46" xr:uid="{00000000-0005-0000-0000-00002D000000}"/>
    <cellStyle name="40% - Accent6 3" xfId="47" xr:uid="{00000000-0005-0000-0000-00002E000000}"/>
    <cellStyle name="40% - Accent6 4" xfId="48" xr:uid="{00000000-0005-0000-0000-00002F000000}"/>
    <cellStyle name="60% - Accent1" xfId="49" builtinId="32" customBuiltin="1"/>
    <cellStyle name="60% - Accent1 2" xfId="50" xr:uid="{00000000-0005-0000-0000-000031000000}"/>
    <cellStyle name="60% - Accent2" xfId="51" builtinId="36" customBuiltin="1"/>
    <cellStyle name="60% - Accent2 2" xfId="52" xr:uid="{00000000-0005-0000-0000-000033000000}"/>
    <cellStyle name="60% - Accent3" xfId="53" builtinId="40" customBuiltin="1"/>
    <cellStyle name="60% - Accent3 2" xfId="54" xr:uid="{00000000-0005-0000-0000-000035000000}"/>
    <cellStyle name="60% - Accent4" xfId="55" builtinId="44" customBuiltin="1"/>
    <cellStyle name="60% - Accent4 2" xfId="56" xr:uid="{00000000-0005-0000-0000-000037000000}"/>
    <cellStyle name="60% - Accent5" xfId="57" builtinId="48" customBuiltin="1"/>
    <cellStyle name="60% - Accent5 2" xfId="58" xr:uid="{00000000-0005-0000-0000-000039000000}"/>
    <cellStyle name="60% - Accent6" xfId="59" builtinId="52" customBuiltin="1"/>
    <cellStyle name="60% - Accent6 2" xfId="60" xr:uid="{00000000-0005-0000-0000-00003B000000}"/>
    <cellStyle name="Accent1" xfId="61" builtinId="29" customBuiltin="1"/>
    <cellStyle name="Accent1 2" xfId="62" xr:uid="{00000000-0005-0000-0000-00003D000000}"/>
    <cellStyle name="Accent2" xfId="63" builtinId="33" customBuiltin="1"/>
    <cellStyle name="Accent2 2" xfId="64" xr:uid="{00000000-0005-0000-0000-00003F000000}"/>
    <cellStyle name="Accent3" xfId="65" builtinId="37" customBuiltin="1"/>
    <cellStyle name="Accent3 2" xfId="66" xr:uid="{00000000-0005-0000-0000-000041000000}"/>
    <cellStyle name="Accent4" xfId="67" builtinId="41" customBuiltin="1"/>
    <cellStyle name="Accent4 2" xfId="68" xr:uid="{00000000-0005-0000-0000-000043000000}"/>
    <cellStyle name="Accent5" xfId="69" builtinId="45" customBuiltin="1"/>
    <cellStyle name="Accent5 2" xfId="70" xr:uid="{00000000-0005-0000-0000-000045000000}"/>
    <cellStyle name="Accent6" xfId="71" builtinId="49" customBuiltin="1"/>
    <cellStyle name="Accent6 2" xfId="72" xr:uid="{00000000-0005-0000-0000-000047000000}"/>
    <cellStyle name="Bad" xfId="73" builtinId="27" customBuiltin="1"/>
    <cellStyle name="Bad 2" xfId="74" xr:uid="{00000000-0005-0000-0000-000049000000}"/>
    <cellStyle name="Calculation" xfId="75" builtinId="22" customBuiltin="1"/>
    <cellStyle name="Calculation 2" xfId="76" xr:uid="{00000000-0005-0000-0000-00004B000000}"/>
    <cellStyle name="Check Cell" xfId="77" builtinId="23" customBuiltin="1"/>
    <cellStyle name="Check Cell 2" xfId="78" xr:uid="{00000000-0005-0000-0000-00004D000000}"/>
    <cellStyle name="Comma" xfId="79" builtinId="3"/>
    <cellStyle name="Comma 2" xfId="80" xr:uid="{00000000-0005-0000-0000-00004F000000}"/>
    <cellStyle name="Comma 2 2" xfId="81" xr:uid="{00000000-0005-0000-0000-000050000000}"/>
    <cellStyle name="Comma 2 2 2" xfId="82" xr:uid="{00000000-0005-0000-0000-000051000000}"/>
    <cellStyle name="Comma 2 3" xfId="83" xr:uid="{00000000-0005-0000-0000-000052000000}"/>
    <cellStyle name="Comma 2 4" xfId="84" xr:uid="{00000000-0005-0000-0000-000053000000}"/>
    <cellStyle name="Comma 3" xfId="85" xr:uid="{00000000-0005-0000-0000-000054000000}"/>
    <cellStyle name="Comma 3 2" xfId="86" xr:uid="{00000000-0005-0000-0000-000055000000}"/>
    <cellStyle name="Comma 3 2 2" xfId="87" xr:uid="{00000000-0005-0000-0000-000056000000}"/>
    <cellStyle name="Comma 3 3" xfId="88" xr:uid="{00000000-0005-0000-0000-000057000000}"/>
    <cellStyle name="Comma 3 3 2" xfId="89" xr:uid="{00000000-0005-0000-0000-000058000000}"/>
    <cellStyle name="Comma 3 3 3" xfId="90" xr:uid="{00000000-0005-0000-0000-000059000000}"/>
    <cellStyle name="Comma 3 3 4" xfId="91" xr:uid="{00000000-0005-0000-0000-00005A000000}"/>
    <cellStyle name="Comma 3 3 5" xfId="92" xr:uid="{00000000-0005-0000-0000-00005B000000}"/>
    <cellStyle name="Comma 3 4" xfId="93" xr:uid="{00000000-0005-0000-0000-00005C000000}"/>
    <cellStyle name="Comma 3 4 2" xfId="94" xr:uid="{00000000-0005-0000-0000-00005D000000}"/>
    <cellStyle name="Comma 3 5" xfId="95" xr:uid="{00000000-0005-0000-0000-00005E000000}"/>
    <cellStyle name="Comma 3 6" xfId="96" xr:uid="{00000000-0005-0000-0000-00005F000000}"/>
    <cellStyle name="Comma 3 7" xfId="97" xr:uid="{00000000-0005-0000-0000-000060000000}"/>
    <cellStyle name="Comma 3 8" xfId="98" xr:uid="{00000000-0005-0000-0000-000061000000}"/>
    <cellStyle name="Comma 3 9" xfId="99" xr:uid="{00000000-0005-0000-0000-000062000000}"/>
    <cellStyle name="Comma 4" xfId="100" xr:uid="{00000000-0005-0000-0000-000063000000}"/>
    <cellStyle name="Comma 5" xfId="101" xr:uid="{00000000-0005-0000-0000-000064000000}"/>
    <cellStyle name="Comma 6" xfId="102" xr:uid="{00000000-0005-0000-0000-000065000000}"/>
    <cellStyle name="Comma 7" xfId="103" xr:uid="{00000000-0005-0000-0000-000066000000}"/>
    <cellStyle name="Comma 8" xfId="166" xr:uid="{00000000-0005-0000-0000-0000AA000000}"/>
    <cellStyle name="Comma_B Schedule Municipal Adjustments Budget - 23 March 2009 cb" xfId="104" xr:uid="{00000000-0005-0000-0000-000067000000}"/>
    <cellStyle name="Explanatory Text" xfId="105" builtinId="53" customBuiltin="1"/>
    <cellStyle name="Explanatory Text 2" xfId="106" xr:uid="{00000000-0005-0000-0000-000069000000}"/>
    <cellStyle name="Good" xfId="107" builtinId="26" customBuiltin="1"/>
    <cellStyle name="Good 2" xfId="108" xr:uid="{00000000-0005-0000-0000-00006B000000}"/>
    <cellStyle name="Heading 1" xfId="109" builtinId="16" customBuiltin="1"/>
    <cellStyle name="Heading 1 2" xfId="110" xr:uid="{00000000-0005-0000-0000-00006D000000}"/>
    <cellStyle name="Heading 2" xfId="111" builtinId="17" customBuiltin="1"/>
    <cellStyle name="Heading 2 2" xfId="112" xr:uid="{00000000-0005-0000-0000-00006F000000}"/>
    <cellStyle name="Heading 3" xfId="113" builtinId="18" customBuiltin="1"/>
    <cellStyle name="Heading 3 2" xfId="114" xr:uid="{00000000-0005-0000-0000-000071000000}"/>
    <cellStyle name="Heading 4" xfId="115" builtinId="19" customBuiltin="1"/>
    <cellStyle name="Heading 4 2" xfId="116" xr:uid="{00000000-0005-0000-0000-000073000000}"/>
    <cellStyle name="Hyperlink" xfId="117" builtinId="8"/>
    <cellStyle name="Hyperlink 2" xfId="118" xr:uid="{00000000-0005-0000-0000-000075000000}"/>
    <cellStyle name="Hyperlink_AppA_Muncde_2010" xfId="119" xr:uid="{00000000-0005-0000-0000-000076000000}"/>
    <cellStyle name="Input" xfId="120" builtinId="20" customBuiltin="1"/>
    <cellStyle name="Input 2" xfId="121" xr:uid="{00000000-0005-0000-0000-000078000000}"/>
    <cellStyle name="Linked Cell" xfId="122" builtinId="24" customBuiltin="1"/>
    <cellStyle name="Linked Cell 2" xfId="123" xr:uid="{00000000-0005-0000-0000-00007A000000}"/>
    <cellStyle name="Neutral" xfId="124" builtinId="28" customBuiltin="1"/>
    <cellStyle name="Neutral 2" xfId="125" xr:uid="{00000000-0005-0000-0000-00007C000000}"/>
    <cellStyle name="Normal" xfId="0" builtinId="0"/>
    <cellStyle name="Normal 2" xfId="126" xr:uid="{00000000-0005-0000-0000-00007E000000}"/>
    <cellStyle name="Normal 2 2" xfId="127" xr:uid="{00000000-0005-0000-0000-00007F000000}"/>
    <cellStyle name="Normal 3" xfId="128" xr:uid="{00000000-0005-0000-0000-000080000000}"/>
    <cellStyle name="Normal 3 2" xfId="129" xr:uid="{00000000-0005-0000-0000-000081000000}"/>
    <cellStyle name="Normal 3 2 2" xfId="130" xr:uid="{00000000-0005-0000-0000-000082000000}"/>
    <cellStyle name="Normal 3 2 3" xfId="131" xr:uid="{00000000-0005-0000-0000-000083000000}"/>
    <cellStyle name="Normal 3 2 4" xfId="132" xr:uid="{00000000-0005-0000-0000-000084000000}"/>
    <cellStyle name="Normal 3 2 5" xfId="133" xr:uid="{00000000-0005-0000-0000-000085000000}"/>
    <cellStyle name="Normal 3 3" xfId="134" xr:uid="{00000000-0005-0000-0000-000086000000}"/>
    <cellStyle name="Normal 3 3 2" xfId="135" xr:uid="{00000000-0005-0000-0000-000087000000}"/>
    <cellStyle name="Normal 3 4" xfId="136" xr:uid="{00000000-0005-0000-0000-000088000000}"/>
    <cellStyle name="Normal 3 5" xfId="137" xr:uid="{00000000-0005-0000-0000-000089000000}"/>
    <cellStyle name="Normal 3 6" xfId="138" xr:uid="{00000000-0005-0000-0000-00008A000000}"/>
    <cellStyle name="Normal 3 7" xfId="139" xr:uid="{00000000-0005-0000-0000-00008B000000}"/>
    <cellStyle name="Normal 4" xfId="140" xr:uid="{00000000-0005-0000-0000-00008C000000}"/>
    <cellStyle name="Normal 4 2" xfId="141" xr:uid="{00000000-0005-0000-0000-00008D000000}"/>
    <cellStyle name="Normal 4 3" xfId="142" xr:uid="{00000000-0005-0000-0000-00008E000000}"/>
    <cellStyle name="Normal 4 4" xfId="143" xr:uid="{00000000-0005-0000-0000-00008F000000}"/>
    <cellStyle name="Normal 5" xfId="144" xr:uid="{00000000-0005-0000-0000-000090000000}"/>
    <cellStyle name="Note" xfId="145" builtinId="10" customBuiltin="1"/>
    <cellStyle name="Note 2" xfId="146" xr:uid="{00000000-0005-0000-0000-000092000000}"/>
    <cellStyle name="Note 2 2" xfId="147" xr:uid="{00000000-0005-0000-0000-000093000000}"/>
    <cellStyle name="Note 3" xfId="148" xr:uid="{00000000-0005-0000-0000-000094000000}"/>
    <cellStyle name="Output" xfId="149" builtinId="21" customBuiltin="1"/>
    <cellStyle name="Output 2" xfId="150" xr:uid="{00000000-0005-0000-0000-000096000000}"/>
    <cellStyle name="Percent" xfId="151" builtinId="5"/>
    <cellStyle name="Percent 10 2" xfId="152" xr:uid="{00000000-0005-0000-0000-000098000000}"/>
    <cellStyle name="Percent 10 2 2" xfId="153" xr:uid="{00000000-0005-0000-0000-000099000000}"/>
    <cellStyle name="Percent 10 2 3" xfId="154" xr:uid="{00000000-0005-0000-0000-00009A000000}"/>
    <cellStyle name="Percent 10 2 4" xfId="155" xr:uid="{00000000-0005-0000-0000-00009B000000}"/>
    <cellStyle name="Percent 2" xfId="156" xr:uid="{00000000-0005-0000-0000-00009C000000}"/>
    <cellStyle name="Percent 2 2" xfId="157" xr:uid="{00000000-0005-0000-0000-00009D000000}"/>
    <cellStyle name="Percent 3" xfId="158" xr:uid="{00000000-0005-0000-0000-00009E000000}"/>
    <cellStyle name="Percent 3 2" xfId="159" xr:uid="{00000000-0005-0000-0000-00009F000000}"/>
    <cellStyle name="Title" xfId="160" builtinId="15" customBuiltin="1"/>
    <cellStyle name="Title 2" xfId="161" xr:uid="{00000000-0005-0000-0000-0000A1000000}"/>
    <cellStyle name="Total" xfId="162" builtinId="25" customBuiltin="1"/>
    <cellStyle name="Total 2" xfId="163" xr:uid="{00000000-0005-0000-0000-0000A3000000}"/>
    <cellStyle name="Warning Text" xfId="164" builtinId="11" customBuiltin="1"/>
    <cellStyle name="Warning Text 2" xfId="165" xr:uid="{00000000-0005-0000-0000-0000A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00780031201248"/>
          <c:y val="7.3113291744928033E-2"/>
          <c:w val="0.79875195007800315"/>
          <c:h val="0.71934045103880806"/>
        </c:manualLayout>
      </c:layout>
      <c:bar3DChart>
        <c:barDir val="col"/>
        <c:grouping val="clustered"/>
        <c:varyColors val="0"/>
        <c:ser>
          <c:idx val="0"/>
          <c:order val="0"/>
          <c:tx>
            <c:strRef>
              <c:f>SC71charts!$A$53</c:f>
              <c:strCache>
                <c:ptCount val="1"/>
                <c:pt idx="0">
                  <c:v>Budget Year 2018/19</c:v>
                </c:pt>
              </c:strCache>
            </c:strRef>
          </c:tx>
          <c:spPr>
            <a:solidFill>
              <a:srgbClr val="0000FF"/>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SC71charts!$B$53:$I$53</c:f>
              <c:numCache>
                <c:formatCode>_(* #\ ##0\ _);_(* \(#\ ##0\ \);_(* "–"?_);_(@_)</c:formatCode>
                <c:ptCount val="8"/>
                <c:pt idx="0">
                  <c:v>57729753.519999996</c:v>
                </c:pt>
                <c:pt idx="1">
                  <c:v>4213513.2299999995</c:v>
                </c:pt>
                <c:pt idx="2">
                  <c:v>3886743.83</c:v>
                </c:pt>
                <c:pt idx="3">
                  <c:v>3836324.4800000004</c:v>
                </c:pt>
                <c:pt idx="4">
                  <c:v>3233164.09</c:v>
                </c:pt>
                <c:pt idx="5">
                  <c:v>3544594.38</c:v>
                </c:pt>
                <c:pt idx="6">
                  <c:v>21661426.529999994</c:v>
                </c:pt>
                <c:pt idx="7">
                  <c:v>76512738.069999993</c:v>
                </c:pt>
              </c:numCache>
            </c:numRef>
          </c:val>
          <c:extLst>
            <c:ext xmlns:c16="http://schemas.microsoft.com/office/drawing/2014/chart" uri="{C3380CC4-5D6E-409C-BE32-E72D297353CC}">
              <c16:uniqueId val="{00000000-1820-47F0-B123-F60D0F552D64}"/>
            </c:ext>
          </c:extLst>
        </c:ser>
        <c:ser>
          <c:idx val="1"/>
          <c:order val="1"/>
          <c:tx>
            <c:strRef>
              <c:f>SC71charts!$A$54</c:f>
              <c:strCache>
                <c:ptCount val="1"/>
                <c:pt idx="0">
                  <c:v>2017/18</c:v>
                </c:pt>
              </c:strCache>
            </c:strRef>
          </c:tx>
          <c:spPr>
            <a:solidFill>
              <a:srgbClr val="FFFF00"/>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SC71charts!$B$54:$I$54</c:f>
              <c:numCache>
                <c:formatCode>_(* #\ ##0\ _);_(* \(#\ ##0\ \);_(* "–"?_);_(@_)</c:formatCode>
                <c:ptCount val="8"/>
                <c:pt idx="0">
                  <c:v>42971345.739999995</c:v>
                </c:pt>
                <c:pt idx="1">
                  <c:v>5255237.08</c:v>
                </c:pt>
                <c:pt idx="2">
                  <c:v>3458926.4</c:v>
                </c:pt>
                <c:pt idx="3">
                  <c:v>4065554.2899999996</c:v>
                </c:pt>
                <c:pt idx="4">
                  <c:v>3267220.0200000005</c:v>
                </c:pt>
                <c:pt idx="5">
                  <c:v>3332626.55</c:v>
                </c:pt>
                <c:pt idx="6">
                  <c:v>20545998.139999997</c:v>
                </c:pt>
                <c:pt idx="7">
                  <c:v>66539239.590000011</c:v>
                </c:pt>
              </c:numCache>
            </c:numRef>
          </c:val>
          <c:extLst>
            <c:ext xmlns:c16="http://schemas.microsoft.com/office/drawing/2014/chart" uri="{C3380CC4-5D6E-409C-BE32-E72D297353CC}">
              <c16:uniqueId val="{00000001-1820-47F0-B123-F60D0F552D64}"/>
            </c:ext>
          </c:extLst>
        </c:ser>
        <c:dLbls>
          <c:showLegendKey val="0"/>
          <c:showVal val="0"/>
          <c:showCatName val="0"/>
          <c:showSerName val="0"/>
          <c:showPercent val="0"/>
          <c:showBubbleSize val="0"/>
        </c:dLbls>
        <c:gapWidth val="150"/>
        <c:shape val="box"/>
        <c:axId val="210037968"/>
        <c:axId val="210038528"/>
        <c:axId val="0"/>
      </c:bar3DChart>
      <c:catAx>
        <c:axId val="2100379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210038528"/>
        <c:crosses val="autoZero"/>
        <c:auto val="1"/>
        <c:lblAlgn val="ctr"/>
        <c:lblOffset val="100"/>
        <c:tickLblSkip val="1"/>
        <c:tickMarkSkip val="1"/>
        <c:noMultiLvlLbl val="0"/>
      </c:catAx>
      <c:valAx>
        <c:axId val="210038528"/>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Narrow"/>
                    <a:ea typeface="Arial Narrow"/>
                    <a:cs typeface="Arial Narrow"/>
                  </a:defRPr>
                </a:pPr>
                <a:r>
                  <a:rPr lang="en-ZA"/>
                  <a:t>R'000</a:t>
                </a:r>
              </a:p>
            </c:rich>
          </c:tx>
          <c:layout>
            <c:manualLayout>
              <c:xMode val="edge"/>
              <c:yMode val="edge"/>
              <c:x val="0.11232444909063589"/>
              <c:y val="0.39858579740469507"/>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210037968"/>
        <c:crosses val="autoZero"/>
        <c:crossBetween val="between"/>
      </c:valAx>
      <c:dTable>
        <c:showHorzBorder val="1"/>
        <c:showVertBorder val="1"/>
        <c:showOutline val="1"/>
        <c:showKeys val="1"/>
        <c:spPr>
          <a:ln w="3175">
            <a:solidFill>
              <a:srgbClr val="000000"/>
            </a:solidFill>
            <a:prstDash val="solid"/>
          </a:ln>
        </c:spPr>
        <c:txPr>
          <a:bodyPr/>
          <a:lstStyle/>
          <a:p>
            <a:pPr rtl="0">
              <a:defRPr sz="975"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61" l="0.37" r="0.17" t="0.77" header="0.5" footer="0.4"/>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31264901172563"/>
          <c:y val="7.0588235294117646E-2"/>
          <c:w val="0.79843810915993441"/>
          <c:h val="0.76235294117647057"/>
        </c:manualLayout>
      </c:layout>
      <c:bar3DChart>
        <c:barDir val="col"/>
        <c:grouping val="clustered"/>
        <c:varyColors val="0"/>
        <c:ser>
          <c:idx val="0"/>
          <c:order val="0"/>
          <c:tx>
            <c:strRef>
              <c:f>SC71charts!$B$77</c:f>
              <c:strCache>
                <c:ptCount val="1"/>
                <c:pt idx="0">
                  <c:v> 2017/18 </c:v>
                </c:pt>
              </c:strCache>
            </c:strRef>
          </c:tx>
          <c:spPr>
            <a:solidFill>
              <a:srgbClr val="0000FF"/>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SC71charts!$B$78:$B$81</c:f>
              <c:numCache>
                <c:formatCode>_(* #\ ##0\ _);_(* \(#\ ##0\ \);_(* "–"?_);_(@_)</c:formatCode>
                <c:ptCount val="4"/>
                <c:pt idx="0">
                  <c:v>5606412.8675999986</c:v>
                </c:pt>
                <c:pt idx="1">
                  <c:v>14760664.221699998</c:v>
                </c:pt>
                <c:pt idx="2">
                  <c:v>133058471.86009999</c:v>
                </c:pt>
                <c:pt idx="3">
                  <c:v>15954161.436699999</c:v>
                </c:pt>
              </c:numCache>
            </c:numRef>
          </c:val>
          <c:extLst>
            <c:ext xmlns:c16="http://schemas.microsoft.com/office/drawing/2014/chart" uri="{C3380CC4-5D6E-409C-BE32-E72D297353CC}">
              <c16:uniqueId val="{00000000-B105-4E55-B772-2E12DBD8B198}"/>
            </c:ext>
          </c:extLst>
        </c:ser>
        <c:ser>
          <c:idx val="1"/>
          <c:order val="1"/>
          <c:tx>
            <c:strRef>
              <c:f>SC71charts!$C$77</c:f>
              <c:strCache>
                <c:ptCount val="1"/>
                <c:pt idx="0">
                  <c:v>Budget Year 2018/19</c:v>
                </c:pt>
              </c:strCache>
            </c:strRef>
          </c:tx>
          <c:spPr>
            <a:solidFill>
              <a:srgbClr val="FFFF00"/>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SC71charts!$C$78:$C$81</c:f>
              <c:numCache>
                <c:formatCode>_(* #\ ##0\ _);_(* \(#\ ##0\ \);_(* "–"?_);_(@_)</c:formatCode>
                <c:ptCount val="4"/>
                <c:pt idx="0">
                  <c:v>5779807.0799999991</c:v>
                </c:pt>
                <c:pt idx="1">
                  <c:v>15217179.609999998</c:v>
                </c:pt>
                <c:pt idx="2">
                  <c:v>137173682.32999998</c:v>
                </c:pt>
                <c:pt idx="3">
                  <c:v>16447589.109999999</c:v>
                </c:pt>
              </c:numCache>
            </c:numRef>
          </c:val>
          <c:extLst>
            <c:ext xmlns:c16="http://schemas.microsoft.com/office/drawing/2014/chart" uri="{C3380CC4-5D6E-409C-BE32-E72D297353CC}">
              <c16:uniqueId val="{00000001-B105-4E55-B772-2E12DBD8B198}"/>
            </c:ext>
          </c:extLst>
        </c:ser>
        <c:dLbls>
          <c:showLegendKey val="0"/>
          <c:showVal val="0"/>
          <c:showCatName val="0"/>
          <c:showSerName val="0"/>
          <c:showPercent val="0"/>
          <c:showBubbleSize val="0"/>
        </c:dLbls>
        <c:gapWidth val="150"/>
        <c:shape val="box"/>
        <c:axId val="210043008"/>
        <c:axId val="210043568"/>
        <c:axId val="0"/>
      </c:bar3DChart>
      <c:catAx>
        <c:axId val="2100430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043568"/>
        <c:crosses val="autoZero"/>
        <c:auto val="1"/>
        <c:lblAlgn val="ctr"/>
        <c:lblOffset val="100"/>
        <c:tickLblSkip val="1"/>
        <c:tickMarkSkip val="1"/>
        <c:noMultiLvlLbl val="0"/>
      </c:catAx>
      <c:valAx>
        <c:axId val="210043568"/>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Narrow"/>
                    <a:ea typeface="Arial Narrow"/>
                    <a:cs typeface="Arial Narrow"/>
                  </a:defRPr>
                </a:pPr>
                <a:r>
                  <a:rPr lang="en-ZA"/>
                  <a:t>R'000</a:t>
                </a:r>
              </a:p>
            </c:rich>
          </c:tx>
          <c:layout>
            <c:manualLayout>
              <c:xMode val="edge"/>
              <c:yMode val="edge"/>
              <c:x val="0.10781272005633442"/>
              <c:y val="0.40470548739547096"/>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210043008"/>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59" l="0.34" r="0.21" t="0.79" header="0.5" footer="0.4"/>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7160686427457097"/>
          <c:y val="7.8014364505680472E-2"/>
          <c:w val="0.82527301092043681"/>
          <c:h val="0.66903227742750215"/>
        </c:manualLayout>
      </c:layout>
      <c:bar3DChart>
        <c:barDir val="col"/>
        <c:grouping val="clustered"/>
        <c:varyColors val="0"/>
        <c:ser>
          <c:idx val="0"/>
          <c:order val="0"/>
          <c:tx>
            <c:strRef>
              <c:f>SC71charts!$A$103</c:f>
              <c:strCache>
                <c:ptCount val="1"/>
                <c:pt idx="0">
                  <c:v>2017/18</c:v>
                </c:pt>
              </c:strCache>
            </c:strRef>
          </c:tx>
          <c:spPr>
            <a:solidFill>
              <a:srgbClr val="0000FF"/>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SC71charts!$B$103:$J$103</c:f>
              <c:numCache>
                <c:formatCode>_(* #\ ##0\ _);_(* \(#\ ##0\ \);_(*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4E57-45E1-977A-F870DD9A80B4}"/>
            </c:ext>
          </c:extLst>
        </c:ser>
        <c:ser>
          <c:idx val="1"/>
          <c:order val="1"/>
          <c:tx>
            <c:strRef>
              <c:f>SC71charts!$A$104</c:f>
              <c:strCache>
                <c:ptCount val="1"/>
                <c:pt idx="0">
                  <c:v>Budget Year 2018/19</c:v>
                </c:pt>
              </c:strCache>
            </c:strRef>
          </c:tx>
          <c:spPr>
            <a:solidFill>
              <a:srgbClr val="FFFF00"/>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SC71charts!$B$104:$J$104</c:f>
              <c:numCache>
                <c:formatCode>_(* #\ ##0\ _);_(* \(#\ ##0\ \);_(* "–"?_);_(@_)</c:formatCode>
                <c:ptCount val="9"/>
                <c:pt idx="0">
                  <c:v>31179404.559999999</c:v>
                </c:pt>
                <c:pt idx="1">
                  <c:v>461077.64</c:v>
                </c:pt>
                <c:pt idx="2">
                  <c:v>0</c:v>
                </c:pt>
                <c:pt idx="3">
                  <c:v>4676910.6900000013</c:v>
                </c:pt>
                <c:pt idx="4">
                  <c:v>0</c:v>
                </c:pt>
                <c:pt idx="5">
                  <c:v>0</c:v>
                </c:pt>
                <c:pt idx="6">
                  <c:v>8121133.7300000079</c:v>
                </c:pt>
                <c:pt idx="7">
                  <c:v>0</c:v>
                </c:pt>
                <c:pt idx="8">
                  <c:v>67343556.390000015</c:v>
                </c:pt>
              </c:numCache>
            </c:numRef>
          </c:val>
          <c:extLst>
            <c:ext xmlns:c16="http://schemas.microsoft.com/office/drawing/2014/chart" uri="{C3380CC4-5D6E-409C-BE32-E72D297353CC}">
              <c16:uniqueId val="{00000001-4E57-45E1-977A-F870DD9A80B4}"/>
            </c:ext>
          </c:extLst>
        </c:ser>
        <c:dLbls>
          <c:showLegendKey val="0"/>
          <c:showVal val="0"/>
          <c:showCatName val="0"/>
          <c:showSerName val="0"/>
          <c:showPercent val="0"/>
          <c:showBubbleSize val="0"/>
        </c:dLbls>
        <c:gapWidth val="150"/>
        <c:shape val="box"/>
        <c:axId val="210048048"/>
        <c:axId val="333873984"/>
        <c:axId val="0"/>
      </c:bar3DChart>
      <c:catAx>
        <c:axId val="21004804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33873984"/>
        <c:crosses val="autoZero"/>
        <c:auto val="1"/>
        <c:lblAlgn val="ctr"/>
        <c:lblOffset val="100"/>
        <c:tickLblSkip val="2"/>
        <c:tickMarkSkip val="1"/>
        <c:noMultiLvlLbl val="0"/>
      </c:catAx>
      <c:valAx>
        <c:axId val="33387398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Narrow"/>
                    <a:ea typeface="Arial Narrow"/>
                    <a:cs typeface="Arial Narrow"/>
                  </a:defRPr>
                </a:pPr>
                <a:r>
                  <a:rPr lang="en-ZA"/>
                  <a:t>R'000</a:t>
                </a:r>
              </a:p>
            </c:rich>
          </c:tx>
          <c:layout>
            <c:manualLayout>
              <c:xMode val="edge"/>
              <c:yMode val="edge"/>
              <c:x val="0.10608421967960459"/>
              <c:y val="0.39243595130655068"/>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21004804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8" header="0.5" footer="0.4"/>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084528567171251"/>
          <c:y val="8.0188771591211391E-2"/>
          <c:w val="0.85289645212314791"/>
          <c:h val="0.64386866601178561"/>
        </c:manualLayout>
      </c:layout>
      <c:bar3DChart>
        <c:barDir val="col"/>
        <c:grouping val="clustered"/>
        <c:varyColors val="0"/>
        <c:ser>
          <c:idx val="0"/>
          <c:order val="0"/>
          <c:tx>
            <c:strRef>
              <c:f>SC71charts!$B$2</c:f>
              <c:strCache>
                <c:ptCount val="1"/>
                <c:pt idx="0">
                  <c:v>2017/18</c:v>
                </c:pt>
              </c:strCache>
            </c:strRef>
          </c:tx>
          <c:spPr>
            <a:solidFill>
              <a:srgbClr val="008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SC71charts!$B$3:$B$14</c:f>
              <c:numCache>
                <c:formatCode>_(* #\ ##0\ _);_(* \(#\ ##0\ \);_(* "–"?_);_(@_)</c:formatCode>
                <c:ptCount val="12"/>
                <c:pt idx="0">
                  <c:v>1419194.16</c:v>
                </c:pt>
                <c:pt idx="1">
                  <c:v>3446428.0300000007</c:v>
                </c:pt>
                <c:pt idx="2">
                  <c:v>8678196.3399999999</c:v>
                </c:pt>
                <c:pt idx="3">
                  <c:v>12521348.469999999</c:v>
                </c:pt>
                <c:pt idx="4">
                  <c:v>10392168.059999999</c:v>
                </c:pt>
                <c:pt idx="5">
                  <c:v>2392678.7400000012</c:v>
                </c:pt>
                <c:pt idx="6">
                  <c:v>3280830.5399999996</c:v>
                </c:pt>
                <c:pt idx="7">
                  <c:v>3612800.8</c:v>
                </c:pt>
                <c:pt idx="8">
                  <c:v>26513949.549999993</c:v>
                </c:pt>
                <c:pt idx="9">
                  <c:v>11961420.52</c:v>
                </c:pt>
                <c:pt idx="10">
                  <c:v>22284429.489999995</c:v>
                </c:pt>
                <c:pt idx="11">
                  <c:v>94518863.090000093</c:v>
                </c:pt>
              </c:numCache>
            </c:numRef>
          </c:val>
          <c:extLst>
            <c:ext xmlns:c16="http://schemas.microsoft.com/office/drawing/2014/chart" uri="{C3380CC4-5D6E-409C-BE32-E72D297353CC}">
              <c16:uniqueId val="{00000000-5AC3-42EB-BBFC-4261FCB662AF}"/>
            </c:ext>
          </c:extLst>
        </c:ser>
        <c:ser>
          <c:idx val="1"/>
          <c:order val="1"/>
          <c:tx>
            <c:strRef>
              <c:f>SC71charts!$C$2</c:f>
              <c:strCache>
                <c:ptCount val="1"/>
                <c:pt idx="0">
                  <c:v>Original Budget</c:v>
                </c:pt>
              </c:strCache>
            </c:strRef>
          </c:tx>
          <c:spPr>
            <a:solidFill>
              <a:srgbClr val="FFFF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SC71charts!$C$3:$C$14</c:f>
              <c:numCache>
                <c:formatCode>_(* #\ ##0\ _);_(* \(#\ ##0\ \);_(* "–"?_);_(@_)</c:formatCode>
                <c:ptCount val="12"/>
                <c:pt idx="0">
                  <c:v>12305496</c:v>
                </c:pt>
                <c:pt idx="1">
                  <c:v>6409200</c:v>
                </c:pt>
                <c:pt idx="2">
                  <c:v>17428000</c:v>
                </c:pt>
                <c:pt idx="3">
                  <c:v>11660000</c:v>
                </c:pt>
                <c:pt idx="4">
                  <c:v>13046000</c:v>
                </c:pt>
                <c:pt idx="5">
                  <c:v>32714591</c:v>
                </c:pt>
                <c:pt idx="6">
                  <c:v>9950000</c:v>
                </c:pt>
                <c:pt idx="7">
                  <c:v>7650000</c:v>
                </c:pt>
                <c:pt idx="8">
                  <c:v>25394461</c:v>
                </c:pt>
                <c:pt idx="9">
                  <c:v>7650000</c:v>
                </c:pt>
                <c:pt idx="10">
                  <c:v>11400000</c:v>
                </c:pt>
                <c:pt idx="11">
                  <c:v>70909429</c:v>
                </c:pt>
              </c:numCache>
            </c:numRef>
          </c:val>
          <c:extLst>
            <c:ext xmlns:c16="http://schemas.microsoft.com/office/drawing/2014/chart" uri="{C3380CC4-5D6E-409C-BE32-E72D297353CC}">
              <c16:uniqueId val="{00000001-5AC3-42EB-BBFC-4261FCB662AF}"/>
            </c:ext>
          </c:extLst>
        </c:ser>
        <c:ser>
          <c:idx val="2"/>
          <c:order val="2"/>
          <c:tx>
            <c:strRef>
              <c:f>SC71charts!$D$2</c:f>
              <c:strCache>
                <c:ptCount val="1"/>
                <c:pt idx="0">
                  <c:v>Adjusted Budget</c:v>
                </c:pt>
              </c:strCache>
            </c:strRef>
          </c:tx>
          <c:spPr>
            <a:solidFill>
              <a:srgbClr val="0000FF"/>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SC71charts!$D$3:$D$14</c:f>
              <c:numCache>
                <c:formatCode>_(* #\ ##0\ _);_(* \(#\ ##0\ \);_(* "–"?_);_(@_)</c:formatCode>
                <c:ptCount val="12"/>
                <c:pt idx="0">
                  <c:v>12069496</c:v>
                </c:pt>
                <c:pt idx="1">
                  <c:v>28862714</c:v>
                </c:pt>
                <c:pt idx="2">
                  <c:v>14425484</c:v>
                </c:pt>
                <c:pt idx="3">
                  <c:v>15251090</c:v>
                </c:pt>
                <c:pt idx="4">
                  <c:v>50732559</c:v>
                </c:pt>
                <c:pt idx="5">
                  <c:v>18971645</c:v>
                </c:pt>
                <c:pt idx="6">
                  <c:v>9500000</c:v>
                </c:pt>
                <c:pt idx="7">
                  <c:v>13800000</c:v>
                </c:pt>
                <c:pt idx="8">
                  <c:v>23493029</c:v>
                </c:pt>
                <c:pt idx="9">
                  <c:v>28555088</c:v>
                </c:pt>
                <c:pt idx="10">
                  <c:v>25207714</c:v>
                </c:pt>
                <c:pt idx="11">
                  <c:v>31584839.220000029</c:v>
                </c:pt>
              </c:numCache>
            </c:numRef>
          </c:val>
          <c:extLst>
            <c:ext xmlns:c16="http://schemas.microsoft.com/office/drawing/2014/chart" uri="{C3380CC4-5D6E-409C-BE32-E72D297353CC}">
              <c16:uniqueId val="{00000002-5AC3-42EB-BBFC-4261FCB662AF}"/>
            </c:ext>
          </c:extLst>
        </c:ser>
        <c:ser>
          <c:idx val="3"/>
          <c:order val="3"/>
          <c:tx>
            <c:strRef>
              <c:f>SC71charts!$E$2</c:f>
              <c:strCache>
                <c:ptCount val="1"/>
                <c:pt idx="0">
                  <c:v>Monthly actual</c:v>
                </c:pt>
              </c:strCache>
            </c:strRef>
          </c:tx>
          <c:spPr>
            <a:solidFill>
              <a:srgbClr val="FF0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SC71charts!$E$3:$E$14</c:f>
              <c:numCache>
                <c:formatCode>_(* #\ ##0\ _);_(* \(#\ ##0\ \);_(* "–"?_);_(@_)</c:formatCode>
                <c:ptCount val="12"/>
                <c:pt idx="0">
                  <c:v>2062645.29</c:v>
                </c:pt>
                <c:pt idx="1">
                  <c:v>7723692.1100000003</c:v>
                </c:pt>
                <c:pt idx="2">
                  <c:v>26579793.239999998</c:v>
                </c:pt>
                <c:pt idx="3">
                  <c:v>21347841.449999999</c:v>
                </c:pt>
                <c:pt idx="4">
                  <c:v>23254945.260000002</c:v>
                </c:pt>
                <c:pt idx="5">
                  <c:v>5478738.7399999993</c:v>
                </c:pt>
                <c:pt idx="6">
                  <c:v>11559470.91</c:v>
                </c:pt>
                <c:pt idx="7">
                  <c:v>5921852.709999999</c:v>
                </c:pt>
                <c:pt idx="8">
                  <c:v>80220938.629999995</c:v>
                </c:pt>
                <c:pt idx="9">
                  <c:v>4454387.6100000003</c:v>
                </c:pt>
                <c:pt idx="10">
                  <c:v>15548183.369999997</c:v>
                </c:pt>
                <c:pt idx="11">
                  <c:v>28743525.049999993</c:v>
                </c:pt>
              </c:numCache>
            </c:numRef>
          </c:val>
          <c:extLst>
            <c:ext xmlns:c16="http://schemas.microsoft.com/office/drawing/2014/chart" uri="{C3380CC4-5D6E-409C-BE32-E72D297353CC}">
              <c16:uniqueId val="{00000003-5AC3-42EB-BBFC-4261FCB662AF}"/>
            </c:ext>
          </c:extLst>
        </c:ser>
        <c:dLbls>
          <c:showLegendKey val="0"/>
          <c:showVal val="0"/>
          <c:showCatName val="0"/>
          <c:showSerName val="0"/>
          <c:showPercent val="0"/>
          <c:showBubbleSize val="0"/>
        </c:dLbls>
        <c:gapWidth val="150"/>
        <c:shape val="box"/>
        <c:axId val="333879584"/>
        <c:axId val="333880144"/>
        <c:axId val="0"/>
      </c:bar3DChart>
      <c:catAx>
        <c:axId val="333879584"/>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333880144"/>
        <c:crosses val="autoZero"/>
        <c:auto val="1"/>
        <c:lblAlgn val="ctr"/>
        <c:lblOffset val="100"/>
        <c:tickLblSkip val="1"/>
        <c:tickMarkSkip val="1"/>
        <c:noMultiLvlLbl val="0"/>
      </c:catAx>
      <c:valAx>
        <c:axId val="333880144"/>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ZA"/>
                  <a:t>R'000</a:t>
                </a:r>
              </a:p>
            </c:rich>
          </c:tx>
          <c:layout>
            <c:manualLayout>
              <c:xMode val="edge"/>
              <c:yMode val="edge"/>
              <c:x val="0.14084521486096291"/>
              <c:y val="0.3490571982697967"/>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33879584"/>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 l="0.34" r="0.21" t="0.78" header="0.5" footer="0.38"/>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3281260132797343"/>
          <c:y val="7.9812389534710454E-2"/>
          <c:w val="0.86093815684368658"/>
          <c:h val="0.74882800769331281"/>
        </c:manualLayout>
      </c:layout>
      <c:bar3DChart>
        <c:barDir val="col"/>
        <c:grouping val="clustered"/>
        <c:varyColors val="0"/>
        <c:ser>
          <c:idx val="0"/>
          <c:order val="0"/>
          <c:tx>
            <c:strRef>
              <c:f>SC71charts!$B$27</c:f>
              <c:strCache>
                <c:ptCount val="1"/>
                <c:pt idx="0">
                  <c:v>YearTD actual</c:v>
                </c:pt>
              </c:strCache>
            </c:strRef>
          </c:tx>
          <c:spPr>
            <a:solidFill>
              <a:srgbClr val="FF0000"/>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SC71charts!$B$28:$B$39</c:f>
              <c:numCache>
                <c:formatCode>_(* #\ ##0\ _);_(* \(#\ ##0\ \);_(* "–"?_);_(@_)</c:formatCode>
                <c:ptCount val="12"/>
                <c:pt idx="0">
                  <c:v>2062645.29</c:v>
                </c:pt>
                <c:pt idx="1">
                  <c:v>9786337.4000000004</c:v>
                </c:pt>
                <c:pt idx="2">
                  <c:v>36366130.640000001</c:v>
                </c:pt>
                <c:pt idx="3">
                  <c:v>57713972.090000004</c:v>
                </c:pt>
                <c:pt idx="4">
                  <c:v>80968917.350000009</c:v>
                </c:pt>
                <c:pt idx="5">
                  <c:v>86447656.090000004</c:v>
                </c:pt>
                <c:pt idx="6">
                  <c:v>98007127</c:v>
                </c:pt>
                <c:pt idx="7">
                  <c:v>103928979.70999999</c:v>
                </c:pt>
                <c:pt idx="8">
                  <c:v>184149918.33999997</c:v>
                </c:pt>
                <c:pt idx="9">
                  <c:v>188604305.94999999</c:v>
                </c:pt>
                <c:pt idx="10">
                  <c:v>204152489.31999999</c:v>
                </c:pt>
                <c:pt idx="11">
                  <c:v>232896014.36999997</c:v>
                </c:pt>
              </c:numCache>
            </c:numRef>
          </c:val>
          <c:extLst>
            <c:ext xmlns:c16="http://schemas.microsoft.com/office/drawing/2014/chart" uri="{C3380CC4-5D6E-409C-BE32-E72D297353CC}">
              <c16:uniqueId val="{00000000-8E80-42BD-8793-892E256DD1E3}"/>
            </c:ext>
          </c:extLst>
        </c:ser>
        <c:ser>
          <c:idx val="1"/>
          <c:order val="1"/>
          <c:tx>
            <c:strRef>
              <c:f>SC71charts!$C$27</c:f>
              <c:strCache>
                <c:ptCount val="1"/>
                <c:pt idx="0">
                  <c:v>YearTD budget</c:v>
                </c:pt>
              </c:strCache>
            </c:strRef>
          </c:tx>
          <c:spPr>
            <a:solidFill>
              <a:srgbClr val="0000FF"/>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SC71charts!$C$28:$C$39</c:f>
              <c:numCache>
                <c:formatCode>_(* #\ ##0\ _);_(* \(#\ ##0\ \);_(* "–"?_);_(@_)</c:formatCode>
                <c:ptCount val="12"/>
                <c:pt idx="0">
                  <c:v>12069496</c:v>
                </c:pt>
                <c:pt idx="1">
                  <c:v>40932210</c:v>
                </c:pt>
                <c:pt idx="2">
                  <c:v>55357694</c:v>
                </c:pt>
                <c:pt idx="3">
                  <c:v>70608784</c:v>
                </c:pt>
                <c:pt idx="4">
                  <c:v>121341343</c:v>
                </c:pt>
                <c:pt idx="5">
                  <c:v>140312988</c:v>
                </c:pt>
                <c:pt idx="6">
                  <c:v>149812988</c:v>
                </c:pt>
                <c:pt idx="7">
                  <c:v>163612988</c:v>
                </c:pt>
                <c:pt idx="8">
                  <c:v>187106017</c:v>
                </c:pt>
                <c:pt idx="9">
                  <c:v>215661105</c:v>
                </c:pt>
                <c:pt idx="10">
                  <c:v>240868819</c:v>
                </c:pt>
                <c:pt idx="11">
                  <c:v>272453658.22000003</c:v>
                </c:pt>
              </c:numCache>
            </c:numRef>
          </c:val>
          <c:extLst>
            <c:ext xmlns:c16="http://schemas.microsoft.com/office/drawing/2014/chart" uri="{C3380CC4-5D6E-409C-BE32-E72D297353CC}">
              <c16:uniqueId val="{00000001-8E80-42BD-8793-892E256DD1E3}"/>
            </c:ext>
          </c:extLst>
        </c:ser>
        <c:dLbls>
          <c:showLegendKey val="0"/>
          <c:showVal val="0"/>
          <c:showCatName val="0"/>
          <c:showSerName val="0"/>
          <c:showPercent val="0"/>
          <c:showBubbleSize val="0"/>
        </c:dLbls>
        <c:gapWidth val="150"/>
        <c:shape val="box"/>
        <c:axId val="333885184"/>
        <c:axId val="333885744"/>
        <c:axId val="0"/>
      </c:bar3DChart>
      <c:catAx>
        <c:axId val="333885184"/>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333885744"/>
        <c:crosses val="autoZero"/>
        <c:auto val="1"/>
        <c:lblAlgn val="ctr"/>
        <c:lblOffset val="100"/>
        <c:tickLblSkip val="1"/>
        <c:tickMarkSkip val="1"/>
        <c:noMultiLvlLbl val="0"/>
      </c:catAx>
      <c:valAx>
        <c:axId val="333885744"/>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ZA"/>
                  <a:t>R'000</a:t>
                </a:r>
              </a:p>
            </c:rich>
          </c:tx>
          <c:layout>
            <c:manualLayout>
              <c:xMode val="edge"/>
              <c:yMode val="edge"/>
              <c:x val="8.5937520005121323E-2"/>
              <c:y val="0.43192599764936573"/>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333885184"/>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5" header="0.5" footer="0.41"/>
    <c:pageSetup paperSize="9" orientation="landscape"/>
  </c:printSettings>
  <c:userShapes r:id="rId1"/>
</c:chartSpace>
</file>

<file path=xl/ctrlProps/ctrlProp1.xml><?xml version="1.0" encoding="utf-8"?>
<formControlPr xmlns="http://schemas.microsoft.com/office/spreadsheetml/2009/9/main" objectType="Drop" dropLines="2" dropStyle="combo" dx="26" fmlaLink="MuniEntities" fmlaRange="$X$4:$X$5" noThreeD="1" sel="2" val="0"/>
</file>

<file path=xl/ctrlProps/ctrlProp2.xml><?xml version="1.0" encoding="utf-8"?>
<formControlPr xmlns="http://schemas.microsoft.com/office/spreadsheetml/2009/9/main" objectType="Drop" dropLines="2" dropStyle="combo" dx="26" fmlaLink="MuniType" fmlaRange="$X$7:$X$15" noThreeD="1" sel="3" val="2"/>
</file>

<file path=xl/ctrlProps/ctrlProp3.xml><?xml version="1.0" encoding="utf-8"?>
<formControlPr xmlns="http://schemas.microsoft.com/office/spreadsheetml/2009/9/main" objectType="Drop" dropLines="6" dropStyle="combo" dx="26" fmlaLink="$X$35" fmlaRange="$X$19:$X$33" noThreeD="1" sel="11" val="6"/>
</file>

<file path=xl/ctrlProps/ctrlProp4.xml><?xml version="1.0" encoding="utf-8"?>
<formControlPr xmlns="http://schemas.microsoft.com/office/spreadsheetml/2009/9/main" objectType="Drop" dropLines="10" dropStyle="combo" dx="26" fmlaLink="'Lookup and lists'!$B$26" fmlaRange="'Lookup and lists'!$B$28:$B$285" noThreeD="1" sel="239" val="236"/>
</file>

<file path=xl/ctrlProps/ctrlProp5.xml><?xml version="1.0" encoding="utf-8"?>
<formControlPr xmlns="http://schemas.microsoft.com/office/spreadsheetml/2009/9/main" objectType="Drop" dropLines="6" dropStyle="combo" dx="26" fmlaLink="$X$10" fmlaRange="$X$39:$X$55" noThreeD="1" sel="16" val="11"/>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6.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Guidelines/Pages/DummyBudgetGuide.aspx" TargetMode="External"/><Relationship Id="rId5" Type="http://schemas.openxmlformats.org/officeDocument/2006/relationships/hyperlink" Target="http://mfma.treasury.gov.za/RegulationsandGazettes/Municipal%20Budget%20and%20Reporting%20Regulations/regulation2012-2013/Documents/Budget%20Format%20Guidelines_%202012_13.pdf" TargetMode="External"/><Relationship Id="rId4" Type="http://schemas.openxmlformats.org/officeDocument/2006/relationships/hyperlink" Target="http://mfma.treasury.gov.za/Circulars/Pages/default.aspx"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3.emf"/><Relationship Id="rId7" Type="http://schemas.openxmlformats.org/officeDocument/2006/relationships/image" Target="../media/image9.emf"/><Relationship Id="rId2" Type="http://schemas.openxmlformats.org/officeDocument/2006/relationships/image" Target="../media/image14.emf"/><Relationship Id="rId1" Type="http://schemas.openxmlformats.org/officeDocument/2006/relationships/image" Target="../media/image15.emf"/><Relationship Id="rId6" Type="http://schemas.openxmlformats.org/officeDocument/2006/relationships/image" Target="../media/image10.emf"/><Relationship Id="rId5" Type="http://schemas.openxmlformats.org/officeDocument/2006/relationships/image" Target="../media/image11.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7620</xdr:colOff>
      <xdr:row>39</xdr:row>
      <xdr:rowOff>91440</xdr:rowOff>
    </xdr:to>
    <xdr:grpSp>
      <xdr:nvGrpSpPr>
        <xdr:cNvPr id="1933242" name="Group 28">
          <a:extLst>
            <a:ext uri="{FF2B5EF4-FFF2-40B4-BE49-F238E27FC236}">
              <a16:creationId xmlns:a16="http://schemas.microsoft.com/office/drawing/2014/main" id="{00000000-0008-0000-0000-0000BA7F1D00}"/>
            </a:ext>
          </a:extLst>
        </xdr:cNvPr>
        <xdr:cNvGrpSpPr>
          <a:grpSpLocks/>
        </xdr:cNvGrpSpPr>
      </xdr:nvGrpSpPr>
      <xdr:grpSpPr bwMode="auto">
        <a:xfrm>
          <a:off x="0" y="0"/>
          <a:ext cx="8542020" cy="6406515"/>
          <a:chOff x="0" y="0"/>
          <a:chExt cx="903" cy="672"/>
        </a:xfrm>
      </xdr:grpSpPr>
      <xdr:grpSp>
        <xdr:nvGrpSpPr>
          <xdr:cNvPr id="1933244" name="Group 1">
            <a:extLst>
              <a:ext uri="{FF2B5EF4-FFF2-40B4-BE49-F238E27FC236}">
                <a16:creationId xmlns:a16="http://schemas.microsoft.com/office/drawing/2014/main" id="{00000000-0008-0000-0000-0000BC7F1D00}"/>
              </a:ext>
            </a:extLst>
          </xdr:cNvPr>
          <xdr:cNvGrpSpPr>
            <a:grpSpLocks/>
          </xdr:cNvGrpSpPr>
        </xdr:nvGrpSpPr>
        <xdr:grpSpPr bwMode="auto">
          <a:xfrm>
            <a:off x="0" y="0"/>
            <a:ext cx="903" cy="672"/>
            <a:chOff x="0" y="0"/>
            <a:chExt cx="791" cy="672"/>
          </a:xfrm>
        </xdr:grpSpPr>
        <xdr:grpSp>
          <xdr:nvGrpSpPr>
            <xdr:cNvPr id="1933246" name="Group 2">
              <a:extLst>
                <a:ext uri="{FF2B5EF4-FFF2-40B4-BE49-F238E27FC236}">
                  <a16:creationId xmlns:a16="http://schemas.microsoft.com/office/drawing/2014/main" id="{00000000-0008-0000-0000-0000BE7F1D00}"/>
                </a:ext>
              </a:extLst>
            </xdr:cNvPr>
            <xdr:cNvGrpSpPr>
              <a:grpSpLocks/>
            </xdr:cNvGrpSpPr>
          </xdr:nvGrpSpPr>
          <xdr:grpSpPr bwMode="auto">
            <a:xfrm>
              <a:off x="0" y="0"/>
              <a:ext cx="791" cy="672"/>
              <a:chOff x="12" y="17"/>
              <a:chExt cx="791" cy="672"/>
            </a:xfrm>
          </xdr:grpSpPr>
          <xdr:pic>
            <xdr:nvPicPr>
              <xdr:cNvPr id="1933248" name="Picture 3" descr="Untitled-1 copy">
                <a:extLst>
                  <a:ext uri="{FF2B5EF4-FFF2-40B4-BE49-F238E27FC236}">
                    <a16:creationId xmlns:a16="http://schemas.microsoft.com/office/drawing/2014/main" id="{00000000-0008-0000-0000-0000C07F1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33249" name="Picture 4" descr="1 copy">
                <a:extLst>
                  <a:ext uri="{FF2B5EF4-FFF2-40B4-BE49-F238E27FC236}">
                    <a16:creationId xmlns:a16="http://schemas.microsoft.com/office/drawing/2014/main" id="{00000000-0008-0000-0000-0000C17F1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933250" name="Group 5">
                <a:extLst>
                  <a:ext uri="{FF2B5EF4-FFF2-40B4-BE49-F238E27FC236}">
                    <a16:creationId xmlns:a16="http://schemas.microsoft.com/office/drawing/2014/main" id="{00000000-0008-0000-0000-0000C27F1D00}"/>
                  </a:ext>
                </a:extLst>
              </xdr:cNvPr>
              <xdr:cNvGrpSpPr>
                <a:grpSpLocks/>
              </xdr:cNvGrpSpPr>
            </xdr:nvGrpSpPr>
            <xdr:grpSpPr bwMode="auto">
              <a:xfrm>
                <a:off x="416" y="255"/>
                <a:ext cx="367" cy="413"/>
                <a:chOff x="416" y="255"/>
                <a:chExt cx="367" cy="413"/>
              </a:xfrm>
            </xdr:grpSpPr>
            <xdr:pic>
              <xdr:nvPicPr>
                <xdr:cNvPr id="1933255" name="Picture 48" descr="Untitled-4-2">
                  <a:extLst>
                    <a:ext uri="{FF2B5EF4-FFF2-40B4-BE49-F238E27FC236}">
                      <a16:creationId xmlns:a16="http://schemas.microsoft.com/office/drawing/2014/main" id="{00000000-0008-0000-0000-0000C77F1D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933256" name="Group 7">
                  <a:extLst>
                    <a:ext uri="{FF2B5EF4-FFF2-40B4-BE49-F238E27FC236}">
                      <a16:creationId xmlns:a16="http://schemas.microsoft.com/office/drawing/2014/main" id="{00000000-0008-0000-0000-0000C87F1D00}"/>
                    </a:ext>
                  </a:extLst>
                </xdr:cNvPr>
                <xdr:cNvGrpSpPr>
                  <a:grpSpLocks/>
                </xdr:cNvGrpSpPr>
              </xdr:nvGrpSpPr>
              <xdr:grpSpPr bwMode="auto">
                <a:xfrm>
                  <a:off x="432" y="264"/>
                  <a:ext cx="286" cy="128"/>
                  <a:chOff x="426" y="263"/>
                  <a:chExt cx="290" cy="130"/>
                </a:xfrm>
              </xdr:grpSpPr>
              <xdr:pic>
                <xdr:nvPicPr>
                  <xdr:cNvPr id="1933258" name="Picture 52" descr="Letter Head">
                    <a:extLst>
                      <a:ext uri="{FF2B5EF4-FFF2-40B4-BE49-F238E27FC236}">
                        <a16:creationId xmlns:a16="http://schemas.microsoft.com/office/drawing/2014/main" id="{00000000-0008-0000-0000-0000CA7F1D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33259" name="Line 53">
                    <a:extLst>
                      <a:ext uri="{FF2B5EF4-FFF2-40B4-BE49-F238E27FC236}">
                        <a16:creationId xmlns:a16="http://schemas.microsoft.com/office/drawing/2014/main" id="{00000000-0008-0000-0000-0000CB7F1D00}"/>
                      </a:ext>
                    </a:extLst>
                  </xdr:cNvPr>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9274" name="Text Box 10">
                  <a:extLst>
                    <a:ext uri="{FF2B5EF4-FFF2-40B4-BE49-F238E27FC236}">
                      <a16:creationId xmlns:a16="http://schemas.microsoft.com/office/drawing/2014/main" id="{00000000-0008-0000-0000-00000A200200}"/>
                    </a:ext>
                  </a:extLst>
                </xdr:cNvPr>
                <xdr:cNvSpPr txBox="1">
                  <a:spLocks noChangeArrowheads="1"/>
                </xdr:cNvSpPr>
              </xdr:nvSpPr>
              <xdr:spPr bwMode="auto">
                <a:xfrm>
                  <a:off x="435" y="393"/>
                  <a:ext cx="332" cy="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Budget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933251" name="Group 11">
                <a:extLst>
                  <a:ext uri="{FF2B5EF4-FFF2-40B4-BE49-F238E27FC236}">
                    <a16:creationId xmlns:a16="http://schemas.microsoft.com/office/drawing/2014/main" id="{00000000-0008-0000-0000-0000C37F1D00}"/>
                  </a:ext>
                </a:extLst>
              </xdr:cNvPr>
              <xdr:cNvGrpSpPr>
                <a:grpSpLocks/>
              </xdr:cNvGrpSpPr>
            </xdr:nvGrpSpPr>
            <xdr:grpSpPr bwMode="auto">
              <a:xfrm>
                <a:off x="76" y="364"/>
                <a:ext cx="289" cy="256"/>
                <a:chOff x="76" y="364"/>
                <a:chExt cx="289" cy="256"/>
              </a:xfrm>
            </xdr:grpSpPr>
            <xdr:pic>
              <xdr:nvPicPr>
                <xdr:cNvPr id="1933252" name="Picture 12" descr="J1c">
                  <a:extLst>
                    <a:ext uri="{FF2B5EF4-FFF2-40B4-BE49-F238E27FC236}">
                      <a16:creationId xmlns:a16="http://schemas.microsoft.com/office/drawing/2014/main" id="{00000000-0008-0000-0000-0000C47F1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33253" name="Picture 13" descr="J1a">
                  <a:extLst>
                    <a:ext uri="{FF2B5EF4-FFF2-40B4-BE49-F238E27FC236}">
                      <a16:creationId xmlns:a16="http://schemas.microsoft.com/office/drawing/2014/main" id="{00000000-0008-0000-0000-0000C57F1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33254" name="Picture 14" descr="J1b">
                  <a:extLst>
                    <a:ext uri="{FF2B5EF4-FFF2-40B4-BE49-F238E27FC236}">
                      <a16:creationId xmlns:a16="http://schemas.microsoft.com/office/drawing/2014/main" id="{00000000-0008-0000-0000-0000C67F1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933247" name="Picture 15" descr="C1b light">
              <a:extLst>
                <a:ext uri="{FF2B5EF4-FFF2-40B4-BE49-F238E27FC236}">
                  <a16:creationId xmlns:a16="http://schemas.microsoft.com/office/drawing/2014/main" id="{00000000-0008-0000-0000-0000BF7F1D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9291" name="Text Box 27">
            <a:extLst>
              <a:ext uri="{FF2B5EF4-FFF2-40B4-BE49-F238E27FC236}">
                <a16:creationId xmlns:a16="http://schemas.microsoft.com/office/drawing/2014/main" id="{00000000-0008-0000-0000-00001B200200}"/>
              </a:ext>
            </a:extLst>
          </xdr:cNvPr>
          <xdr:cNvSpPr txBox="1">
            <a:spLocks noChangeArrowheads="1"/>
          </xdr:cNvSpPr>
        </xdr:nvSpPr>
        <xdr:spPr bwMode="auto">
          <a:xfrm>
            <a:off x="732" y="199"/>
            <a:ext cx="162" cy="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6.2</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156210</xdr:rowOff>
    </xdr:from>
    <xdr:to>
      <xdr:col>4</xdr:col>
      <xdr:colOff>485775</xdr:colOff>
      <xdr:row>19</xdr:row>
      <xdr:rowOff>26</xdr:rowOff>
    </xdr:to>
    <xdr:sp macro="[0]!GoToInstructions" textlink="">
      <xdr:nvSpPr>
        <xdr:cNvPr id="139290" name="Text Box 26">
          <a:extLst>
            <a:ext uri="{FF2B5EF4-FFF2-40B4-BE49-F238E27FC236}">
              <a16:creationId xmlns:a16="http://schemas.microsoft.com/office/drawing/2014/main" id="{00000000-0008-0000-0000-00001A200200}"/>
            </a:ext>
          </a:extLst>
        </xdr:cNvPr>
        <xdr:cNvSpPr txBox="1">
          <a:spLocks noChangeArrowheads="1"/>
        </xdr:cNvSpPr>
      </xdr:nvSpPr>
      <xdr:spPr bwMode="auto">
        <a:xfrm>
          <a:off x="695325" y="2581275"/>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0.18401</cdr:x>
      <cdr:y>0.01219</cdr:y>
    </cdr:from>
    <cdr:to>
      <cdr:x>0.95257</cdr:x>
      <cdr:y>0.06414</cdr:y>
    </cdr:to>
    <cdr:sp macro="" textlink="SC71charts!$A$26">
      <cdr:nvSpPr>
        <cdr:cNvPr id="125953" name="Text Box 1"/>
        <cdr:cNvSpPr txBox="1">
          <a:spLocks xmlns:a="http://schemas.openxmlformats.org/drawingml/2006/main" noChangeArrowheads="1" noTextEdit="1"/>
        </cdr:cNvSpPr>
      </cdr:nvSpPr>
      <cdr:spPr bwMode="auto">
        <a:xfrm xmlns:a="http://schemas.openxmlformats.org/drawingml/2006/main">
          <a:off x="1126639" y="50800"/>
          <a:ext cx="4700035" cy="1995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67A942EF-0152-4E2B-910F-8E0CBFE1DD96}" type="TxLink">
            <a:rPr lang="en-GB" sz="1200" b="1" i="0" u="none" strike="noStrike" baseline="0">
              <a:solidFill>
                <a:srgbClr val="000000"/>
              </a:solidFill>
              <a:latin typeface="Arial Narrow"/>
            </a:rPr>
            <a:pPr algn="ctr" rtl="0">
              <a:defRPr sz="1000"/>
            </a:pPr>
            <a:t>Chart C2 2018/19 Capital Expenditure: YTD actual v YTD target</a:t>
          </a:fld>
          <a:endParaRPr lang="en-GB" sz="1200" b="1" i="0" u="none" strike="noStrike" baseline="0">
            <a:solidFill>
              <a:srgbClr val="000000"/>
            </a:solidFill>
            <a:latin typeface="Arial Narrow"/>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47</xdr:row>
      <xdr:rowOff>68580</xdr:rowOff>
    </xdr:to>
    <xdr:pic>
      <xdr:nvPicPr>
        <xdr:cNvPr id="2081494" name="Picture 3" descr="Untitled-1 copy">
          <a:extLst>
            <a:ext uri="{FF2B5EF4-FFF2-40B4-BE49-F238E27FC236}">
              <a16:creationId xmlns:a16="http://schemas.microsoft.com/office/drawing/2014/main" id="{00000000-0008-0000-0100-0000D6C21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24800" cy="794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144780</xdr:colOff>
      <xdr:row>29</xdr:row>
      <xdr:rowOff>76200</xdr:rowOff>
    </xdr:from>
    <xdr:to>
      <xdr:col>6</xdr:col>
      <xdr:colOff>99060</xdr:colOff>
      <xdr:row>46</xdr:row>
      <xdr:rowOff>60960</xdr:rowOff>
    </xdr:to>
    <xdr:pic>
      <xdr:nvPicPr>
        <xdr:cNvPr id="2081495" name="Picture 4" descr="1 copy">
          <a:extLst>
            <a:ext uri="{FF2B5EF4-FFF2-40B4-BE49-F238E27FC236}">
              <a16:creationId xmlns:a16="http://schemas.microsoft.com/office/drawing/2014/main" id="{00000000-0008-0000-0100-0000D7C21F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 y="4937760"/>
          <a:ext cx="3611880" cy="2834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104775</xdr:rowOff>
    </xdr:from>
    <xdr:to>
      <xdr:col>11</xdr:col>
      <xdr:colOff>561975</xdr:colOff>
      <xdr:row>28</xdr:row>
      <xdr:rowOff>118219</xdr:rowOff>
    </xdr:to>
    <xdr:sp macro="[0]!GoToOrgstructure" textlink="">
      <xdr:nvSpPr>
        <xdr:cNvPr id="123920" name="Text Box 16">
          <a:extLst>
            <a:ext uri="{FF2B5EF4-FFF2-40B4-BE49-F238E27FC236}">
              <a16:creationId xmlns:a16="http://schemas.microsoft.com/office/drawing/2014/main" id="{00000000-0008-0000-0100-000010E40100}"/>
            </a:ext>
          </a:extLst>
        </xdr:cNvPr>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127635</xdr:rowOff>
    </xdr:from>
    <xdr:to>
      <xdr:col>11</xdr:col>
      <xdr:colOff>552450</xdr:colOff>
      <xdr:row>3</xdr:row>
      <xdr:rowOff>133629</xdr:rowOff>
    </xdr:to>
    <xdr:sp macro="" textlink="">
      <xdr:nvSpPr>
        <xdr:cNvPr id="123921" name="Text Box 17">
          <a:extLst>
            <a:ext uri="{FF2B5EF4-FFF2-40B4-BE49-F238E27FC236}">
              <a16:creationId xmlns:a16="http://schemas.microsoft.com/office/drawing/2014/main" id="{00000000-0008-0000-0100-000011E40100}"/>
            </a:ext>
          </a:extLst>
        </xdr:cNvPr>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a:extLst>
            <a:ext uri="{FF2B5EF4-FFF2-40B4-BE49-F238E27FC236}">
              <a16:creationId xmlns:a16="http://schemas.microsoft.com/office/drawing/2014/main" id="{00000000-0008-0000-0100-000013E40100}"/>
            </a:ext>
          </a:extLst>
        </xdr:cNvPr>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104775</xdr:rowOff>
    </xdr:to>
    <xdr:sp macro="" textlink="">
      <xdr:nvSpPr>
        <xdr:cNvPr id="142343" name="Text Box 22">
          <a:extLst>
            <a:ext uri="{FF2B5EF4-FFF2-40B4-BE49-F238E27FC236}">
              <a16:creationId xmlns:a16="http://schemas.microsoft.com/office/drawing/2014/main" id="{00000000-0008-0000-0100-0000072C0200}"/>
            </a:ext>
          </a:extLst>
        </xdr:cNvPr>
        <xdr:cNvSpPr txBox="1">
          <a:spLocks noChangeArrowheads="1"/>
        </xdr:cNvSpPr>
      </xdr:nvSpPr>
      <xdr:spPr bwMode="auto">
        <a:xfrm>
          <a:off x="228600" y="2686050"/>
          <a:ext cx="2933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118219</xdr:rowOff>
    </xdr:to>
    <xdr:sp macro="" textlink="">
      <xdr:nvSpPr>
        <xdr:cNvPr id="142344" name="Text Box 24">
          <a:extLst>
            <a:ext uri="{FF2B5EF4-FFF2-40B4-BE49-F238E27FC236}">
              <a16:creationId xmlns:a16="http://schemas.microsoft.com/office/drawing/2014/main" id="{00000000-0008-0000-0100-0000082C0200}"/>
            </a:ext>
          </a:extLst>
        </xdr:cNvPr>
        <xdr:cNvSpPr txBox="1">
          <a:spLocks noChangeArrowheads="1"/>
        </xdr:cNvSpPr>
      </xdr:nvSpPr>
      <xdr:spPr bwMode="auto">
        <a:xfrm>
          <a:off x="4524375" y="2695575"/>
          <a:ext cx="14382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57150</xdr:rowOff>
    </xdr:from>
    <xdr:to>
      <xdr:col>5</xdr:col>
      <xdr:colOff>47625</xdr:colOff>
      <xdr:row>22</xdr:row>
      <xdr:rowOff>66675</xdr:rowOff>
    </xdr:to>
    <xdr:sp macro="" textlink="">
      <xdr:nvSpPr>
        <xdr:cNvPr id="123929" name="Text Box 25">
          <a:extLst>
            <a:ext uri="{FF2B5EF4-FFF2-40B4-BE49-F238E27FC236}">
              <a16:creationId xmlns:a16="http://schemas.microsoft.com/office/drawing/2014/main" id="{00000000-0008-0000-0100-000019E40100}"/>
            </a:ext>
          </a:extLst>
        </xdr:cNvPr>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104775</xdr:rowOff>
    </xdr:from>
    <xdr:to>
      <xdr:col>5</xdr:col>
      <xdr:colOff>47625</xdr:colOff>
      <xdr:row>24</xdr:row>
      <xdr:rowOff>156356</xdr:rowOff>
    </xdr:to>
    <xdr:sp macro="" textlink="">
      <xdr:nvSpPr>
        <xdr:cNvPr id="123930" name="Text Box 26">
          <a:extLst>
            <a:ext uri="{FF2B5EF4-FFF2-40B4-BE49-F238E27FC236}">
              <a16:creationId xmlns:a16="http://schemas.microsoft.com/office/drawing/2014/main" id="{00000000-0008-0000-0100-00001AE40100}"/>
            </a:ext>
          </a:extLst>
        </xdr:cNvPr>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a:extLst>
            <a:ext uri="{FF2B5EF4-FFF2-40B4-BE49-F238E27FC236}">
              <a16:creationId xmlns:a16="http://schemas.microsoft.com/office/drawing/2014/main" id="{00000000-0008-0000-0100-000027E40100}"/>
            </a:ext>
          </a:extLst>
        </xdr:cNvPr>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a:extLst>
            <a:ext uri="{FF2B5EF4-FFF2-40B4-BE49-F238E27FC236}">
              <a16:creationId xmlns:a16="http://schemas.microsoft.com/office/drawing/2014/main" id="{00000000-0008-0000-0100-000028E40100}"/>
            </a:ext>
          </a:extLst>
        </xdr:cNvPr>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127635</xdr:rowOff>
    </xdr:from>
    <xdr:to>
      <xdr:col>5</xdr:col>
      <xdr:colOff>95250</xdr:colOff>
      <xdr:row>13</xdr:row>
      <xdr:rowOff>118110</xdr:rowOff>
    </xdr:to>
    <xdr:sp macro="" textlink="">
      <xdr:nvSpPr>
        <xdr:cNvPr id="123945" name="Text Box 41">
          <a:extLst>
            <a:ext uri="{FF2B5EF4-FFF2-40B4-BE49-F238E27FC236}">
              <a16:creationId xmlns:a16="http://schemas.microsoft.com/office/drawing/2014/main" id="{00000000-0008-0000-0100-000029E40100}"/>
            </a:ext>
          </a:extLst>
        </xdr:cNvPr>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a:extLst>
            <a:ext uri="{FF2B5EF4-FFF2-40B4-BE49-F238E27FC236}">
              <a16:creationId xmlns:a16="http://schemas.microsoft.com/office/drawing/2014/main" id="{00000000-0008-0000-0100-00002DE40100}"/>
            </a:ext>
          </a:extLst>
        </xdr:cNvPr>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mc:AlternateContent xmlns:mc="http://schemas.openxmlformats.org/markup-compatibility/2006">
    <mc:Choice xmlns:a14="http://schemas.microsoft.com/office/drawing/2010/main" Requires="a14">
      <xdr:twoCellAnchor editAs="oneCell">
        <xdr:from>
          <xdr:col>5</xdr:col>
          <xdr:colOff>219075</xdr:colOff>
          <xdr:row>20</xdr:row>
          <xdr:rowOff>28575</xdr:rowOff>
        </xdr:from>
        <xdr:to>
          <xdr:col>6</xdr:col>
          <xdr:colOff>495300</xdr:colOff>
          <xdr:row>21</xdr:row>
          <xdr:rowOff>133350</xdr:rowOff>
        </xdr:to>
        <xdr:sp macro="" textlink="">
          <xdr:nvSpPr>
            <xdr:cNvPr id="142354" name="Drop Down 18" hidden="1">
              <a:extLst>
                <a:ext uri="{63B3BB69-23CF-44E3-9099-C40C66FF867C}">
                  <a14:compatExt spid="_x0000_s142354"/>
                </a:ext>
                <a:ext uri="{FF2B5EF4-FFF2-40B4-BE49-F238E27FC236}">
                  <a16:creationId xmlns:a16="http://schemas.microsoft.com/office/drawing/2014/main" id="{00000000-0008-0000-0100-000012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22</xdr:row>
          <xdr:rowOff>123825</xdr:rowOff>
        </xdr:from>
        <xdr:to>
          <xdr:col>7</xdr:col>
          <xdr:colOff>600075</xdr:colOff>
          <xdr:row>24</xdr:row>
          <xdr:rowOff>47625</xdr:rowOff>
        </xdr:to>
        <xdr:sp macro="" textlink="">
          <xdr:nvSpPr>
            <xdr:cNvPr id="142355" name="Drop Down 19" hidden="1">
              <a:extLst>
                <a:ext uri="{63B3BB69-23CF-44E3-9099-C40C66FF867C}">
                  <a14:compatExt spid="_x0000_s142355"/>
                </a:ext>
                <a:ext uri="{FF2B5EF4-FFF2-40B4-BE49-F238E27FC236}">
                  <a16:creationId xmlns:a16="http://schemas.microsoft.com/office/drawing/2014/main" id="{00000000-0008-0000-0100-000013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17</xdr:row>
          <xdr:rowOff>57150</xdr:rowOff>
        </xdr:from>
        <xdr:to>
          <xdr:col>7</xdr:col>
          <xdr:colOff>238125</xdr:colOff>
          <xdr:row>18</xdr:row>
          <xdr:rowOff>161925</xdr:rowOff>
        </xdr:to>
        <xdr:sp macro="" textlink="">
          <xdr:nvSpPr>
            <xdr:cNvPr id="142356" name="Drop Down 20" hidden="1">
              <a:extLst>
                <a:ext uri="{63B3BB69-23CF-44E3-9099-C40C66FF867C}">
                  <a14:compatExt spid="_x0000_s142356"/>
                </a:ext>
                <a:ext uri="{FF2B5EF4-FFF2-40B4-BE49-F238E27FC236}">
                  <a16:creationId xmlns:a16="http://schemas.microsoft.com/office/drawing/2014/main" id="{00000000-0008-0000-0100-000014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579120</xdr:colOff>
          <xdr:row>17</xdr:row>
          <xdr:rowOff>30480</xdr:rowOff>
        </xdr:from>
        <xdr:to>
          <xdr:col>11</xdr:col>
          <xdr:colOff>464820</xdr:colOff>
          <xdr:row>19</xdr:row>
          <xdr:rowOff>30480</xdr:rowOff>
        </xdr:to>
        <xdr:pic>
          <xdr:nvPicPr>
            <xdr:cNvPr id="2081507" name="TextBox2">
              <a:extLst>
                <a:ext uri="{FF2B5EF4-FFF2-40B4-BE49-F238E27FC236}">
                  <a16:creationId xmlns:a16="http://schemas.microsoft.com/office/drawing/2014/main" id="{00000000-0008-0000-0100-0000E3C21F00}"/>
                </a:ext>
              </a:extLst>
            </xdr:cNvPr>
            <xdr:cNvPicPr preferRelativeResize="0">
              <a:picLocks noChangeArrowheads="1" noChangeShapeType="1"/>
              <a:extLst>
                <a:ext uri="{84589F7E-364E-4C9E-8A38-B11213B215E9}">
                  <a14:cameraTool cellRange="FinYear" spid="_x0000_s2115693"/>
                </a:ext>
              </a:extLst>
            </xdr:cNvPicPr>
          </xdr:nvPicPr>
          <xdr:blipFill>
            <a:blip xmlns:r="http://schemas.openxmlformats.org/officeDocument/2006/relationships" r:embed="rId3">
              <a:grayscl/>
              <a:biLevel thresh="50000"/>
            </a:blip>
            <a:srcRect/>
            <a:stretch>
              <a:fillRect/>
            </a:stretch>
          </xdr:blipFill>
          <xdr:spPr bwMode="auto">
            <a:xfrm>
              <a:off x="6065520" y="2880360"/>
              <a:ext cx="1104900" cy="33528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47625</xdr:rowOff>
        </xdr:from>
        <xdr:to>
          <xdr:col>11</xdr:col>
          <xdr:colOff>247650</xdr:colOff>
          <xdr:row>8</xdr:row>
          <xdr:rowOff>142875</xdr:rowOff>
        </xdr:to>
        <xdr:sp macro="" textlink="">
          <xdr:nvSpPr>
            <xdr:cNvPr id="142358" name="TextBox3" hidden="1">
              <a:extLst>
                <a:ext uri="{63B3BB69-23CF-44E3-9099-C40C66FF867C}">
                  <a14:compatExt spid="_x0000_s142358"/>
                </a:ext>
                <a:ext uri="{FF2B5EF4-FFF2-40B4-BE49-F238E27FC236}">
                  <a16:creationId xmlns:a16="http://schemas.microsoft.com/office/drawing/2014/main" id="{00000000-0008-0000-0100-000016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133350</xdr:rowOff>
        </xdr:from>
        <xdr:to>
          <xdr:col>7</xdr:col>
          <xdr:colOff>552450</xdr:colOff>
          <xdr:row>11</xdr:row>
          <xdr:rowOff>66675</xdr:rowOff>
        </xdr:to>
        <xdr:sp macro="" textlink="">
          <xdr:nvSpPr>
            <xdr:cNvPr id="142359" name="TextBox4" hidden="1">
              <a:extLst>
                <a:ext uri="{63B3BB69-23CF-44E3-9099-C40C66FF867C}">
                  <a14:compatExt spid="_x0000_s142359"/>
                </a:ext>
                <a:ext uri="{FF2B5EF4-FFF2-40B4-BE49-F238E27FC236}">
                  <a16:creationId xmlns:a16="http://schemas.microsoft.com/office/drawing/2014/main" id="{00000000-0008-0000-0100-000017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12</xdr:row>
          <xdr:rowOff>28575</xdr:rowOff>
        </xdr:from>
        <xdr:to>
          <xdr:col>11</xdr:col>
          <xdr:colOff>247650</xdr:colOff>
          <xdr:row>13</xdr:row>
          <xdr:rowOff>123825</xdr:rowOff>
        </xdr:to>
        <xdr:sp macro="" textlink="">
          <xdr:nvSpPr>
            <xdr:cNvPr id="142360" name="TextBox5" hidden="1">
              <a:extLst>
                <a:ext uri="{63B3BB69-23CF-44E3-9099-C40C66FF867C}">
                  <a14:compatExt spid="_x0000_s142360"/>
                </a:ext>
                <a:ext uri="{FF2B5EF4-FFF2-40B4-BE49-F238E27FC236}">
                  <a16:creationId xmlns:a16="http://schemas.microsoft.com/office/drawing/2014/main" id="{00000000-0008-0000-0100-000018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247650</xdr:colOff>
          <xdr:row>11</xdr:row>
          <xdr:rowOff>76200</xdr:rowOff>
        </xdr:to>
        <xdr:sp macro="" textlink="">
          <xdr:nvSpPr>
            <xdr:cNvPr id="142361" name="TextBox6" hidden="1">
              <a:extLst>
                <a:ext uri="{63B3BB69-23CF-44E3-9099-C40C66FF867C}">
                  <a14:compatExt spid="_x0000_s142361"/>
                </a:ext>
                <a:ext uri="{FF2B5EF4-FFF2-40B4-BE49-F238E27FC236}">
                  <a16:creationId xmlns:a16="http://schemas.microsoft.com/office/drawing/2014/main" id="{00000000-0008-0000-0100-000019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133350</xdr:rowOff>
        </xdr:from>
        <xdr:to>
          <xdr:col>5</xdr:col>
          <xdr:colOff>133350</xdr:colOff>
          <xdr:row>37</xdr:row>
          <xdr:rowOff>133350</xdr:rowOff>
        </xdr:to>
        <xdr:sp macro="" textlink="">
          <xdr:nvSpPr>
            <xdr:cNvPr id="142362" name="ToggleReferenceColumns" hidden="1">
              <a:extLst>
                <a:ext uri="{63B3BB69-23CF-44E3-9099-C40C66FF867C}">
                  <a14:compatExt spid="_x0000_s142362"/>
                </a:ext>
                <a:ext uri="{FF2B5EF4-FFF2-40B4-BE49-F238E27FC236}">
                  <a16:creationId xmlns:a16="http://schemas.microsoft.com/office/drawing/2014/main" id="{00000000-0008-0000-0100-00001A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38</xdr:row>
          <xdr:rowOff>47625</xdr:rowOff>
        </xdr:from>
        <xdr:to>
          <xdr:col>5</xdr:col>
          <xdr:colOff>133350</xdr:colOff>
          <xdr:row>40</xdr:row>
          <xdr:rowOff>38100</xdr:rowOff>
        </xdr:to>
        <xdr:sp macro="" textlink="">
          <xdr:nvSpPr>
            <xdr:cNvPr id="142363" name="TogglePreAuditColums" hidden="1">
              <a:extLst>
                <a:ext uri="{63B3BB69-23CF-44E3-9099-C40C66FF867C}">
                  <a14:compatExt spid="_x0000_s142363"/>
                </a:ext>
                <a:ext uri="{FF2B5EF4-FFF2-40B4-BE49-F238E27FC236}">
                  <a16:creationId xmlns:a16="http://schemas.microsoft.com/office/drawing/2014/main" id="{00000000-0008-0000-0100-00001B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9525</xdr:rowOff>
        </xdr:from>
        <xdr:to>
          <xdr:col>5</xdr:col>
          <xdr:colOff>133350</xdr:colOff>
          <xdr:row>45</xdr:row>
          <xdr:rowOff>9525</xdr:rowOff>
        </xdr:to>
        <xdr:sp macro="" textlink="">
          <xdr:nvSpPr>
            <xdr:cNvPr id="142364" name="ToggleHiddenColumns" hidden="1">
              <a:extLst>
                <a:ext uri="{63B3BB69-23CF-44E3-9099-C40C66FF867C}">
                  <a14:compatExt spid="_x0000_s142364"/>
                </a:ext>
                <a:ext uri="{FF2B5EF4-FFF2-40B4-BE49-F238E27FC236}">
                  <a16:creationId xmlns:a16="http://schemas.microsoft.com/office/drawing/2014/main" id="{00000000-0008-0000-0100-00001C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104775</xdr:colOff>
      <xdr:row>14</xdr:row>
      <xdr:rowOff>38100</xdr:rowOff>
    </xdr:from>
    <xdr:to>
      <xdr:col>5</xdr:col>
      <xdr:colOff>114300</xdr:colOff>
      <xdr:row>17</xdr:row>
      <xdr:rowOff>47625</xdr:rowOff>
    </xdr:to>
    <xdr:sp macro="" textlink="">
      <xdr:nvSpPr>
        <xdr:cNvPr id="142365" name="Text Box 24">
          <a:extLst>
            <a:ext uri="{FF2B5EF4-FFF2-40B4-BE49-F238E27FC236}">
              <a16:creationId xmlns:a16="http://schemas.microsoft.com/office/drawing/2014/main" id="{00000000-0008-0000-0100-00001D2C0200}"/>
            </a:ext>
          </a:extLst>
        </xdr:cNvPr>
        <xdr:cNvSpPr txBox="1">
          <a:spLocks noChangeArrowheads="1"/>
        </xdr:cNvSpPr>
      </xdr:nvSpPr>
      <xdr:spPr bwMode="auto">
        <a:xfrm>
          <a:off x="1323975" y="2305050"/>
          <a:ext cx="1838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Reporting period:</a:t>
          </a:r>
        </a:p>
      </xdr:txBody>
    </xdr:sp>
    <xdr:clientData/>
  </xdr:twoCellAnchor>
  <xdr:twoCellAnchor>
    <xdr:from>
      <xdr:col>0</xdr:col>
      <xdr:colOff>133350</xdr:colOff>
      <xdr:row>29</xdr:row>
      <xdr:rowOff>104774</xdr:rowOff>
    </xdr:from>
    <xdr:to>
      <xdr:col>6</xdr:col>
      <xdr:colOff>57150</xdr:colOff>
      <xdr:row>33</xdr:row>
      <xdr:rowOff>19049</xdr:rowOff>
    </xdr:to>
    <xdr:sp macro="" textlink="">
      <xdr:nvSpPr>
        <xdr:cNvPr id="142367" name="Text Box 18">
          <a:extLst>
            <a:ext uri="{FF2B5EF4-FFF2-40B4-BE49-F238E27FC236}">
              <a16:creationId xmlns:a16="http://schemas.microsoft.com/office/drawing/2014/main" id="{00000000-0008-0000-0100-00001F2C0200}"/>
            </a:ext>
          </a:extLst>
        </xdr:cNvPr>
        <xdr:cNvSpPr txBox="1">
          <a:spLocks noChangeArrowheads="1"/>
        </xdr:cNvSpPr>
      </xdr:nvSpPr>
      <xdr:spPr bwMode="auto">
        <a:xfrm>
          <a:off x="133350" y="4800599"/>
          <a:ext cx="3581400"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1</xdr:col>
      <xdr:colOff>9525</xdr:colOff>
      <xdr:row>33</xdr:row>
      <xdr:rowOff>66675</xdr:rowOff>
    </xdr:from>
    <xdr:to>
      <xdr:col>5</xdr:col>
      <xdr:colOff>247650</xdr:colOff>
      <xdr:row>35</xdr:row>
      <xdr:rowOff>118256</xdr:rowOff>
    </xdr:to>
    <xdr:sp macro="" textlink="">
      <xdr:nvSpPr>
        <xdr:cNvPr id="142369" name="Text Box 33">
          <a:extLst>
            <a:ext uri="{FF2B5EF4-FFF2-40B4-BE49-F238E27FC236}">
              <a16:creationId xmlns:a16="http://schemas.microsoft.com/office/drawing/2014/main" id="{00000000-0008-0000-0100-0000212C0200}"/>
            </a:ext>
          </a:extLst>
        </xdr:cNvPr>
        <xdr:cNvSpPr txBox="1">
          <a:spLocks noChangeArrowheads="1"/>
        </xdr:cNvSpPr>
      </xdr:nvSpPr>
      <xdr:spPr bwMode="auto">
        <a:xfrm>
          <a:off x="619125" y="5410200"/>
          <a:ext cx="2676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485775</xdr:colOff>
      <xdr:row>40</xdr:row>
      <xdr:rowOff>142875</xdr:rowOff>
    </xdr:from>
    <xdr:to>
      <xdr:col>5</xdr:col>
      <xdr:colOff>466725</xdr:colOff>
      <xdr:row>42</xdr:row>
      <xdr:rowOff>127949</xdr:rowOff>
    </xdr:to>
    <xdr:sp macro="" textlink="">
      <xdr:nvSpPr>
        <xdr:cNvPr id="142370" name="Text Box 34">
          <a:extLst>
            <a:ext uri="{FF2B5EF4-FFF2-40B4-BE49-F238E27FC236}">
              <a16:creationId xmlns:a16="http://schemas.microsoft.com/office/drawing/2014/main" id="{00000000-0008-0000-0100-0000222C0200}"/>
            </a:ext>
          </a:extLst>
        </xdr:cNvPr>
        <xdr:cNvSpPr txBox="1">
          <a:spLocks noChangeArrowheads="1"/>
        </xdr:cNvSpPr>
      </xdr:nvSpPr>
      <xdr:spPr bwMode="auto">
        <a:xfrm>
          <a:off x="485775" y="6619875"/>
          <a:ext cx="30289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228600</xdr:colOff>
          <xdr:row>4</xdr:row>
          <xdr:rowOff>104775</xdr:rowOff>
        </xdr:from>
        <xdr:to>
          <xdr:col>11</xdr:col>
          <xdr:colOff>238125</xdr:colOff>
          <xdr:row>6</xdr:row>
          <xdr:rowOff>28575</xdr:rowOff>
        </xdr:to>
        <xdr:sp macro="" textlink="">
          <xdr:nvSpPr>
            <xdr:cNvPr id="142373" name="Drop Down 37" hidden="1">
              <a:extLst>
                <a:ext uri="{63B3BB69-23CF-44E3-9099-C40C66FF867C}">
                  <a14:compatExt spid="_x0000_s142373"/>
                </a:ext>
                <a:ext uri="{FF2B5EF4-FFF2-40B4-BE49-F238E27FC236}">
                  <a16:creationId xmlns:a16="http://schemas.microsoft.com/office/drawing/2014/main" id="{00000000-0008-0000-0100-000025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14</xdr:row>
          <xdr:rowOff>142875</xdr:rowOff>
        </xdr:from>
        <xdr:to>
          <xdr:col>7</xdr:col>
          <xdr:colOff>238125</xdr:colOff>
          <xdr:row>16</xdr:row>
          <xdr:rowOff>76200</xdr:rowOff>
        </xdr:to>
        <xdr:sp macro="" textlink="">
          <xdr:nvSpPr>
            <xdr:cNvPr id="142375" name="Drop Down 39" hidden="1">
              <a:extLst>
                <a:ext uri="{63B3BB69-23CF-44E3-9099-C40C66FF867C}">
                  <a14:compatExt spid="_x0000_s142375"/>
                </a:ext>
                <a:ext uri="{FF2B5EF4-FFF2-40B4-BE49-F238E27FC236}">
                  <a16:creationId xmlns:a16="http://schemas.microsoft.com/office/drawing/2014/main" id="{00000000-0008-0000-0100-000027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137160</xdr:colOff>
      <xdr:row>29</xdr:row>
      <xdr:rowOff>76200</xdr:rowOff>
    </xdr:from>
    <xdr:to>
      <xdr:col>12</xdr:col>
      <xdr:colOff>144780</xdr:colOff>
      <xdr:row>46</xdr:row>
      <xdr:rowOff>68580</xdr:rowOff>
    </xdr:to>
    <xdr:pic>
      <xdr:nvPicPr>
        <xdr:cNvPr id="2081512" name="Picture 4" descr="1 copy">
          <a:extLst>
            <a:ext uri="{FF2B5EF4-FFF2-40B4-BE49-F238E27FC236}">
              <a16:creationId xmlns:a16="http://schemas.microsoft.com/office/drawing/2014/main" id="{00000000-0008-0000-0100-0000E8C21F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4760" y="4937760"/>
          <a:ext cx="3665220" cy="284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161926</xdr:colOff>
      <xdr:row>29</xdr:row>
      <xdr:rowOff>91439</xdr:rowOff>
    </xdr:from>
    <xdr:to>
      <xdr:col>12</xdr:col>
      <xdr:colOff>76200</xdr:colOff>
      <xdr:row>33</xdr:row>
      <xdr:rowOff>9531</xdr:rowOff>
    </xdr:to>
    <xdr:sp macro="" textlink="">
      <xdr:nvSpPr>
        <xdr:cNvPr id="38" name="Text Box 18">
          <a:extLst>
            <a:ext uri="{FF2B5EF4-FFF2-40B4-BE49-F238E27FC236}">
              <a16:creationId xmlns:a16="http://schemas.microsoft.com/office/drawing/2014/main" id="{00000000-0008-0000-0100-000026000000}"/>
            </a:ext>
          </a:extLst>
        </xdr:cNvPr>
        <xdr:cNvSpPr txBox="1">
          <a:spLocks noChangeArrowheads="1"/>
        </xdr:cNvSpPr>
      </xdr:nvSpPr>
      <xdr:spPr bwMode="auto">
        <a:xfrm>
          <a:off x="3819526" y="4791074"/>
          <a:ext cx="3571874"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Importants documents which</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304800</xdr:colOff>
      <xdr:row>33</xdr:row>
      <xdr:rowOff>76200</xdr:rowOff>
    </xdr:from>
    <xdr:to>
      <xdr:col>10</xdr:col>
      <xdr:colOff>238125</xdr:colOff>
      <xdr:row>35</xdr:row>
      <xdr:rowOff>127781</xdr:rowOff>
    </xdr:to>
    <xdr:sp macro="" textlink="">
      <xdr:nvSpPr>
        <xdr:cNvPr id="40" name="Text Box 33">
          <a:extLst>
            <a:ext uri="{FF2B5EF4-FFF2-40B4-BE49-F238E27FC236}">
              <a16:creationId xmlns:a16="http://schemas.microsoft.com/office/drawing/2014/main" id="{00000000-0008-0000-0100-000028000000}"/>
            </a:ext>
          </a:extLst>
        </xdr:cNvPr>
        <xdr:cNvSpPr txBox="1">
          <a:spLocks noChangeArrowheads="1"/>
        </xdr:cNvSpPr>
      </xdr:nvSpPr>
      <xdr:spPr bwMode="auto">
        <a:xfrm>
          <a:off x="3962400" y="54197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Budget Circular 2011/12</a:t>
          </a:r>
        </a:p>
      </xdr:txBody>
    </xdr:sp>
    <xdr:clientData/>
  </xdr:twoCellAnchor>
  <xdr:twoCellAnchor>
    <xdr:from>
      <xdr:col>6</xdr:col>
      <xdr:colOff>304800</xdr:colOff>
      <xdr:row>38</xdr:row>
      <xdr:rowOff>66675</xdr:rowOff>
    </xdr:from>
    <xdr:to>
      <xdr:col>10</xdr:col>
      <xdr:colOff>238125</xdr:colOff>
      <xdr:row>40</xdr:row>
      <xdr:rowOff>118256</xdr:rowOff>
    </xdr:to>
    <xdr:sp macro="" textlink="">
      <xdr:nvSpPr>
        <xdr:cNvPr id="45" name="Text Box 33">
          <a:extLst>
            <a:ext uri="{FF2B5EF4-FFF2-40B4-BE49-F238E27FC236}">
              <a16:creationId xmlns:a16="http://schemas.microsoft.com/office/drawing/2014/main" id="{00000000-0008-0000-0100-00002D000000}"/>
            </a:ext>
          </a:extLst>
        </xdr:cNvPr>
        <xdr:cNvSpPr txBox="1">
          <a:spLocks noChangeArrowheads="1"/>
        </xdr:cNvSpPr>
      </xdr:nvSpPr>
      <xdr:spPr bwMode="auto">
        <a:xfrm>
          <a:off x="3962400" y="62198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Dummy Budget Guide</a:t>
          </a:r>
        </a:p>
      </xdr:txBody>
    </xdr:sp>
    <xdr:clientData/>
  </xdr:twoCellAnchor>
  <xdr:twoCellAnchor>
    <xdr:from>
      <xdr:col>6</xdr:col>
      <xdr:colOff>295275</xdr:colOff>
      <xdr:row>41</xdr:row>
      <xdr:rowOff>0</xdr:rowOff>
    </xdr:from>
    <xdr:to>
      <xdr:col>10</xdr:col>
      <xdr:colOff>228600</xdr:colOff>
      <xdr:row>43</xdr:row>
      <xdr:rowOff>47625</xdr:rowOff>
    </xdr:to>
    <xdr:sp macro="" textlink="">
      <xdr:nvSpPr>
        <xdr:cNvPr id="46" name="Text Box 33">
          <a:extLst>
            <a:ext uri="{FF2B5EF4-FFF2-40B4-BE49-F238E27FC236}">
              <a16:creationId xmlns:a16="http://schemas.microsoft.com/office/drawing/2014/main" id="{00000000-0008-0000-0100-00002E000000}"/>
            </a:ext>
          </a:extLst>
        </xdr:cNvPr>
        <xdr:cNvSpPr txBox="1">
          <a:spLocks noChangeArrowheads="1"/>
        </xdr:cNvSpPr>
      </xdr:nvSpPr>
      <xdr:spPr bwMode="auto">
        <a:xfrm>
          <a:off x="3952875" y="66389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Funding Compliance Guide</a:t>
          </a:r>
        </a:p>
      </xdr:txBody>
    </xdr:sp>
    <xdr:clientData/>
  </xdr:twoCellAnchor>
  <xdr:twoCellAnchor>
    <xdr:from>
      <xdr:col>6</xdr:col>
      <xdr:colOff>295275</xdr:colOff>
      <xdr:row>43</xdr:row>
      <xdr:rowOff>89535</xdr:rowOff>
    </xdr:from>
    <xdr:to>
      <xdr:col>10</xdr:col>
      <xdr:colOff>228600</xdr:colOff>
      <xdr:row>45</xdr:row>
      <xdr:rowOff>133723</xdr:rowOff>
    </xdr:to>
    <xdr:sp macro="" textlink="">
      <xdr:nvSpPr>
        <xdr:cNvPr id="47" name="Text Box 33">
          <a:extLst>
            <a:ext uri="{FF2B5EF4-FFF2-40B4-BE49-F238E27FC236}">
              <a16:creationId xmlns:a16="http://schemas.microsoft.com/office/drawing/2014/main" id="{00000000-0008-0000-0100-00002F000000}"/>
            </a:ext>
          </a:extLst>
        </xdr:cNvPr>
        <xdr:cNvSpPr txBox="1">
          <a:spLocks noChangeArrowheads="1"/>
        </xdr:cNvSpPr>
      </xdr:nvSpPr>
      <xdr:spPr bwMode="auto">
        <a:xfrm>
          <a:off x="3952875" y="7048500"/>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Return Forms</a:t>
          </a:r>
        </a:p>
      </xdr:txBody>
    </xdr:sp>
    <xdr:clientData/>
  </xdr:twoCellAnchor>
  <xdr:twoCellAnchor>
    <xdr:from>
      <xdr:col>6</xdr:col>
      <xdr:colOff>304800</xdr:colOff>
      <xdr:row>36</xdr:row>
      <xdr:rowOff>9525</xdr:rowOff>
    </xdr:from>
    <xdr:to>
      <xdr:col>10</xdr:col>
      <xdr:colOff>238125</xdr:colOff>
      <xdr:row>38</xdr:row>
      <xdr:rowOff>57150</xdr:rowOff>
    </xdr:to>
    <xdr:sp macro="" textlink="">
      <xdr:nvSpPr>
        <xdr:cNvPr id="48" name="Text Box 33">
          <a:extLst>
            <a:ext uri="{FF2B5EF4-FFF2-40B4-BE49-F238E27FC236}">
              <a16:creationId xmlns:a16="http://schemas.microsoft.com/office/drawing/2014/main" id="{00000000-0008-0000-0100-000030000000}"/>
            </a:ext>
          </a:extLst>
        </xdr:cNvPr>
        <xdr:cNvSpPr txBox="1">
          <a:spLocks noChangeArrowheads="1"/>
        </xdr:cNvSpPr>
      </xdr:nvSpPr>
      <xdr:spPr bwMode="auto">
        <a:xfrm>
          <a:off x="3962400" y="58388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MBRR Budget Formats Guide</a:t>
          </a:r>
        </a:p>
      </xdr:txBody>
    </xdr:sp>
    <xdr:clientData/>
  </xdr:twoCellAnchor>
  <xdr:twoCellAnchor>
    <xdr:from>
      <xdr:col>10</xdr:col>
      <xdr:colOff>514350</xdr:colOff>
      <xdr:row>33</xdr:row>
      <xdr:rowOff>47625</xdr:rowOff>
    </xdr:from>
    <xdr:to>
      <xdr:col>12</xdr:col>
      <xdr:colOff>95250</xdr:colOff>
      <xdr:row>35</xdr:row>
      <xdr:rowOff>95250</xdr:rowOff>
    </xdr:to>
    <xdr:sp macro="" textlink="">
      <xdr:nvSpPr>
        <xdr:cNvPr id="50" name="Text Box 233">
          <a:hlinkClick xmlns:r="http://schemas.openxmlformats.org/officeDocument/2006/relationships" r:id="rId4"/>
          <a:extLst>
            <a:ext uri="{FF2B5EF4-FFF2-40B4-BE49-F238E27FC236}">
              <a16:creationId xmlns:a16="http://schemas.microsoft.com/office/drawing/2014/main" id="{00000000-0008-0000-0100-000032000000}"/>
            </a:ext>
          </a:extLst>
        </xdr:cNvPr>
        <xdr:cNvSpPr txBox="1">
          <a:spLocks noChangeArrowheads="1"/>
        </xdr:cNvSpPr>
      </xdr:nvSpPr>
      <xdr:spPr bwMode="auto">
        <a:xfrm>
          <a:off x="6610350" y="5391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504825</xdr:colOff>
      <xdr:row>35</xdr:row>
      <xdr:rowOff>104775</xdr:rowOff>
    </xdr:from>
    <xdr:to>
      <xdr:col>12</xdr:col>
      <xdr:colOff>85725</xdr:colOff>
      <xdr:row>37</xdr:row>
      <xdr:rowOff>156356</xdr:rowOff>
    </xdr:to>
    <xdr:sp macro="" textlink="">
      <xdr:nvSpPr>
        <xdr:cNvPr id="51" name="Text Box 233">
          <a:hlinkClick xmlns:r="http://schemas.openxmlformats.org/officeDocument/2006/relationships" r:id="rId5"/>
          <a:extLst>
            <a:ext uri="{FF2B5EF4-FFF2-40B4-BE49-F238E27FC236}">
              <a16:creationId xmlns:a16="http://schemas.microsoft.com/office/drawing/2014/main" id="{00000000-0008-0000-0100-000033000000}"/>
            </a:ext>
          </a:extLst>
        </xdr:cNvPr>
        <xdr:cNvSpPr txBox="1">
          <a:spLocks noChangeArrowheads="1"/>
        </xdr:cNvSpPr>
      </xdr:nvSpPr>
      <xdr:spPr bwMode="auto">
        <a:xfrm>
          <a:off x="6600825" y="5772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37</xdr:row>
      <xdr:rowOff>156210</xdr:rowOff>
    </xdr:from>
    <xdr:to>
      <xdr:col>12</xdr:col>
      <xdr:colOff>114300</xdr:colOff>
      <xdr:row>40</xdr:row>
      <xdr:rowOff>38136</xdr:rowOff>
    </xdr:to>
    <xdr:sp macro="" textlink="">
      <xdr:nvSpPr>
        <xdr:cNvPr id="52" name="Text Box 233">
          <a:hlinkClick xmlns:r="http://schemas.openxmlformats.org/officeDocument/2006/relationships" r:id="rId6"/>
          <a:extLst>
            <a:ext uri="{FF2B5EF4-FFF2-40B4-BE49-F238E27FC236}">
              <a16:creationId xmlns:a16="http://schemas.microsoft.com/office/drawing/2014/main" id="{00000000-0008-0000-0100-000034000000}"/>
            </a:ext>
          </a:extLst>
        </xdr:cNvPr>
        <xdr:cNvSpPr txBox="1">
          <a:spLocks noChangeArrowheads="1"/>
        </xdr:cNvSpPr>
      </xdr:nvSpPr>
      <xdr:spPr bwMode="auto">
        <a:xfrm>
          <a:off x="6629400" y="6143625"/>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40</xdr:row>
      <xdr:rowOff>95250</xdr:rowOff>
    </xdr:from>
    <xdr:to>
      <xdr:col>12</xdr:col>
      <xdr:colOff>114300</xdr:colOff>
      <xdr:row>42</xdr:row>
      <xdr:rowOff>142875</xdr:rowOff>
    </xdr:to>
    <xdr:sp macro="" textlink="">
      <xdr:nvSpPr>
        <xdr:cNvPr id="53" name="Text Box 233">
          <a:hlinkClick xmlns:r="http://schemas.openxmlformats.org/officeDocument/2006/relationships" r:id="rId7"/>
          <a:extLst>
            <a:ext uri="{FF2B5EF4-FFF2-40B4-BE49-F238E27FC236}">
              <a16:creationId xmlns:a16="http://schemas.microsoft.com/office/drawing/2014/main" id="{00000000-0008-0000-0100-000035000000}"/>
            </a:ext>
          </a:extLst>
        </xdr:cNvPr>
        <xdr:cNvSpPr txBox="1">
          <a:spLocks noChangeArrowheads="1"/>
        </xdr:cNvSpPr>
      </xdr:nvSpPr>
      <xdr:spPr bwMode="auto">
        <a:xfrm>
          <a:off x="6629400" y="65722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43</xdr:row>
      <xdr:rowOff>66675</xdr:rowOff>
    </xdr:from>
    <xdr:to>
      <xdr:col>12</xdr:col>
      <xdr:colOff>114300</xdr:colOff>
      <xdr:row>45</xdr:row>
      <xdr:rowOff>118256</xdr:rowOff>
    </xdr:to>
    <xdr:sp macro="" textlink="">
      <xdr:nvSpPr>
        <xdr:cNvPr id="54" name="Text Box 233">
          <a:hlinkClick xmlns:r="http://schemas.openxmlformats.org/officeDocument/2006/relationships" r:id="rId8"/>
          <a:extLst>
            <a:ext uri="{FF2B5EF4-FFF2-40B4-BE49-F238E27FC236}">
              <a16:creationId xmlns:a16="http://schemas.microsoft.com/office/drawing/2014/main" id="{00000000-0008-0000-0100-000036000000}"/>
            </a:ext>
          </a:extLst>
        </xdr:cNvPr>
        <xdr:cNvSpPr txBox="1">
          <a:spLocks noChangeArrowheads="1"/>
        </xdr:cNvSpPr>
      </xdr:nvSpPr>
      <xdr:spPr bwMode="auto">
        <a:xfrm>
          <a:off x="6629400" y="70294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171450</xdr:colOff>
          <xdr:row>2</xdr:row>
          <xdr:rowOff>104775</xdr:rowOff>
        </xdr:from>
        <xdr:to>
          <xdr:col>4</xdr:col>
          <xdr:colOff>1924050</xdr:colOff>
          <xdr:row>4</xdr:row>
          <xdr:rowOff>104775</xdr:rowOff>
        </xdr:to>
        <xdr:sp macro="" textlink="">
          <xdr:nvSpPr>
            <xdr:cNvPr id="75788" name="Button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521970</xdr:colOff>
      <xdr:row>0</xdr:row>
      <xdr:rowOff>19050</xdr:rowOff>
    </xdr:from>
    <xdr:to>
      <xdr:col>2</xdr:col>
      <xdr:colOff>3280209</xdr:colOff>
      <xdr:row>0</xdr:row>
      <xdr:rowOff>438150</xdr:rowOff>
    </xdr:to>
    <xdr:sp macro="" textlink="">
      <xdr:nvSpPr>
        <xdr:cNvPr id="2" name="Text Box 18">
          <a:extLst>
            <a:ext uri="{FF2B5EF4-FFF2-40B4-BE49-F238E27FC236}">
              <a16:creationId xmlns:a16="http://schemas.microsoft.com/office/drawing/2014/main" id="{00000000-0008-0000-0400-000002000000}"/>
            </a:ext>
          </a:extLst>
        </xdr:cNvPr>
        <xdr:cNvSpPr txBox="1">
          <a:spLocks noChangeArrowheads="1"/>
        </xdr:cNvSpPr>
      </xdr:nvSpPr>
      <xdr:spPr bwMode="auto">
        <a:xfrm>
          <a:off x="1114425" y="19050"/>
          <a:ext cx="714375" cy="1428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a:extLst>
            <a:ext uri="{FF2B5EF4-FFF2-40B4-BE49-F238E27FC236}">
              <a16:creationId xmlns:a16="http://schemas.microsoft.com/office/drawing/2014/main" id="{00000000-0008-0000-0400-000003000000}"/>
            </a:ext>
          </a:extLst>
        </xdr:cNvPr>
        <xdr:cNvSpPr txBox="1">
          <a:spLocks noChangeArrowheads="1"/>
        </xdr:cNvSpPr>
      </xdr:nvSpPr>
      <xdr:spPr bwMode="auto">
        <a:xfrm>
          <a:off x="0" y="9525"/>
          <a:ext cx="609600" cy="152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a:extLst>
            <a:ext uri="{FF2B5EF4-FFF2-40B4-BE49-F238E27FC236}">
              <a16:creationId xmlns:a16="http://schemas.microsoft.com/office/drawing/2014/main" id="{00000000-0008-0000-0400-000004000000}"/>
            </a:ext>
          </a:extLst>
        </xdr:cNvPr>
        <xdr:cNvSpPr txBox="1">
          <a:spLocks noChangeArrowheads="1"/>
        </xdr:cNvSpPr>
      </xdr:nvSpPr>
      <xdr:spPr bwMode="auto">
        <a:xfrm>
          <a:off x="1828800" y="0"/>
          <a:ext cx="1219200" cy="161924"/>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518160</xdr:colOff>
      <xdr:row>0</xdr:row>
      <xdr:rowOff>426720</xdr:rowOff>
    </xdr:to>
    <xdr:sp macro="" textlink="">
      <xdr:nvSpPr>
        <xdr:cNvPr id="1046387" name="Text Box 18">
          <a:extLst>
            <a:ext uri="{FF2B5EF4-FFF2-40B4-BE49-F238E27FC236}">
              <a16:creationId xmlns:a16="http://schemas.microsoft.com/office/drawing/2014/main" id="{00000000-0008-0000-0400-000073F70F00}"/>
            </a:ext>
          </a:extLst>
        </xdr:cNvPr>
        <xdr:cNvSpPr txBox="1">
          <a:spLocks noChangeArrowheads="1"/>
        </xdr:cNvSpPr>
      </xdr:nvSpPr>
      <xdr:spPr bwMode="auto">
        <a:xfrm>
          <a:off x="2575560" y="0"/>
          <a:ext cx="518160" cy="42672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50</xdr:row>
      <xdr:rowOff>0</xdr:rowOff>
    </xdr:from>
    <xdr:to>
      <xdr:col>20</xdr:col>
      <xdr:colOff>7620</xdr:colOff>
      <xdr:row>74</xdr:row>
      <xdr:rowOff>114300</xdr:rowOff>
    </xdr:to>
    <xdr:graphicFrame macro="">
      <xdr:nvGraphicFramePr>
        <xdr:cNvPr id="2136136" name="Chart 2">
          <a:extLst>
            <a:ext uri="{FF2B5EF4-FFF2-40B4-BE49-F238E27FC236}">
              <a16:creationId xmlns:a16="http://schemas.microsoft.com/office/drawing/2014/main" id="{00000000-0008-0000-2200-00004898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75</xdr:row>
      <xdr:rowOff>7620</xdr:rowOff>
    </xdr:from>
    <xdr:to>
      <xdr:col>20</xdr:col>
      <xdr:colOff>0</xdr:colOff>
      <xdr:row>100</xdr:row>
      <xdr:rowOff>0</xdr:rowOff>
    </xdr:to>
    <xdr:graphicFrame macro="">
      <xdr:nvGraphicFramePr>
        <xdr:cNvPr id="2136137" name="Chart 3">
          <a:extLst>
            <a:ext uri="{FF2B5EF4-FFF2-40B4-BE49-F238E27FC236}">
              <a16:creationId xmlns:a16="http://schemas.microsoft.com/office/drawing/2014/main" id="{00000000-0008-0000-2200-00004998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100</xdr:row>
      <xdr:rowOff>22860</xdr:rowOff>
    </xdr:from>
    <xdr:to>
      <xdr:col>20</xdr:col>
      <xdr:colOff>7620</xdr:colOff>
      <xdr:row>125</xdr:row>
      <xdr:rowOff>0</xdr:rowOff>
    </xdr:to>
    <xdr:graphicFrame macro="">
      <xdr:nvGraphicFramePr>
        <xdr:cNvPr id="2136138" name="Chart 4">
          <a:extLst>
            <a:ext uri="{FF2B5EF4-FFF2-40B4-BE49-F238E27FC236}">
              <a16:creationId xmlns:a16="http://schemas.microsoft.com/office/drawing/2014/main" id="{00000000-0008-0000-2200-00004A98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0</xdr:row>
      <xdr:rowOff>0</xdr:rowOff>
    </xdr:from>
    <xdr:to>
      <xdr:col>19</xdr:col>
      <xdr:colOff>617220</xdr:colOff>
      <xdr:row>24</xdr:row>
      <xdr:rowOff>114300</xdr:rowOff>
    </xdr:to>
    <xdr:graphicFrame macro="">
      <xdr:nvGraphicFramePr>
        <xdr:cNvPr id="2136139" name="Chart 5">
          <a:extLst>
            <a:ext uri="{FF2B5EF4-FFF2-40B4-BE49-F238E27FC236}">
              <a16:creationId xmlns:a16="http://schemas.microsoft.com/office/drawing/2014/main" id="{00000000-0008-0000-2200-00004B98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24</xdr:row>
      <xdr:rowOff>121920</xdr:rowOff>
    </xdr:from>
    <xdr:to>
      <xdr:col>20</xdr:col>
      <xdr:colOff>0</xdr:colOff>
      <xdr:row>49</xdr:row>
      <xdr:rowOff>121920</xdr:rowOff>
    </xdr:to>
    <xdr:graphicFrame macro="">
      <xdr:nvGraphicFramePr>
        <xdr:cNvPr id="2136140" name="Chart 6">
          <a:extLst>
            <a:ext uri="{FF2B5EF4-FFF2-40B4-BE49-F238E27FC236}">
              <a16:creationId xmlns:a16="http://schemas.microsoft.com/office/drawing/2014/main" id="{00000000-0008-0000-2200-00004C98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0.07522</cdr:x>
      <cdr:y>0.01224</cdr:y>
    </cdr:from>
    <cdr:to>
      <cdr:x>0.97129</cdr:x>
      <cdr:y>0.06274</cdr:y>
    </cdr:to>
    <cdr:sp macro="" textlink="SC71charts!$A$51">
      <cdr:nvSpPr>
        <cdr:cNvPr id="131073" name="Text Box 1"/>
        <cdr:cNvSpPr txBox="1">
          <a:spLocks xmlns:a="http://schemas.openxmlformats.org/drawingml/2006/main" noChangeArrowheads="1" noTextEdit="1"/>
        </cdr:cNvSpPr>
      </cdr:nvSpPr>
      <cdr:spPr bwMode="auto">
        <a:xfrm xmlns:a="http://schemas.openxmlformats.org/drawingml/2006/main">
          <a:off x="460146" y="50800"/>
          <a:ext cx="5490058"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EA436304-C007-4412-A70E-4ABD8BCFF6FD}" type="TxLink">
            <a:rPr lang="en-GB" sz="1200" b="1" i="0" u="none" strike="noStrike" baseline="0">
              <a:solidFill>
                <a:srgbClr val="000000"/>
              </a:solidFill>
              <a:latin typeface="Arial Narrow"/>
            </a:rPr>
            <a:pPr algn="ctr" rtl="0">
              <a:defRPr sz="1000"/>
            </a:pPr>
            <a:t>Chart C3 Aged Consumer Debtors Analysis</a:t>
          </a:fld>
          <a:endParaRPr lang="en-GB" sz="1200" b="1" i="0" u="none" strike="noStrike" baseline="0">
            <a:solidFill>
              <a:srgbClr val="000000"/>
            </a:solidFill>
            <a:latin typeface="Arial Narrow"/>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0.0553</cdr:x>
      <cdr:y>0.01271</cdr:y>
    </cdr:from>
    <cdr:to>
      <cdr:x>0.98727</cdr:x>
      <cdr:y>0.06269</cdr:y>
    </cdr:to>
    <cdr:sp macro="" textlink="SC71charts!$A$76">
      <cdr:nvSpPr>
        <cdr:cNvPr id="132097" name="Text Box 1"/>
        <cdr:cNvSpPr txBox="1">
          <a:spLocks xmlns:a="http://schemas.openxmlformats.org/drawingml/2006/main" noChangeArrowheads="1" noTextEdit="1"/>
        </cdr:cNvSpPr>
      </cdr:nvSpPr>
      <cdr:spPr bwMode="auto">
        <a:xfrm xmlns:a="http://schemas.openxmlformats.org/drawingml/2006/main">
          <a:off x="339293" y="50800"/>
          <a:ext cx="5703751" cy="2001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E91307E-79A8-4E3F-B270-C2C4B40BE016}" type="TxLink">
            <a:rPr lang="en-GB" sz="1200" b="1" i="0" u="none" strike="noStrike" baseline="0">
              <a:solidFill>
                <a:srgbClr val="000000"/>
              </a:solidFill>
              <a:latin typeface="Arial Narrow"/>
            </a:rPr>
            <a:pPr algn="ctr" rtl="0">
              <a:defRPr sz="1000"/>
            </a:pPr>
            <a:t>Chart C4 Consumer Debtors (total by Debtor Customer Category)</a:t>
          </a:fld>
          <a:endParaRPr lang="en-GB" sz="1200" b="1" i="0" u="none" strike="noStrike" baseline="0">
            <a:solidFill>
              <a:srgbClr val="000000"/>
            </a:solidFill>
            <a:latin typeface="Arial Narrow"/>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0.13404</cdr:x>
      <cdr:y>0.01227</cdr:y>
    </cdr:from>
    <cdr:to>
      <cdr:x>0.91862</cdr:x>
      <cdr:y>0.07688</cdr:y>
    </cdr:to>
    <cdr:sp macro="" textlink="SC71charts!$A$101">
      <cdr:nvSpPr>
        <cdr:cNvPr id="133121" name="Text Box 1"/>
        <cdr:cNvSpPr txBox="1">
          <a:spLocks xmlns:a="http://schemas.openxmlformats.org/drawingml/2006/main" noChangeArrowheads="1" noTextEdit="1"/>
        </cdr:cNvSpPr>
      </cdr:nvSpPr>
      <cdr:spPr bwMode="auto">
        <a:xfrm xmlns:a="http://schemas.openxmlformats.org/drawingml/2006/main">
          <a:off x="824344" y="50800"/>
          <a:ext cx="4806811" cy="2474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4CD8040-B1A0-4DE9-A1EA-0646DF4ED38F}" type="TxLink">
            <a:rPr lang="en-GB" sz="1200" b="1" i="0" u="none" strike="noStrike" baseline="0">
              <a:solidFill>
                <a:srgbClr val="000000"/>
              </a:solidFill>
              <a:latin typeface="Arial Narrow"/>
            </a:rPr>
            <a:pPr algn="ctr" rtl="0">
              <a:defRPr sz="1000"/>
            </a:pPr>
            <a:t>Chart C5 Aged Creditors Analysis</a:t>
          </a:fld>
          <a:endParaRPr lang="en-GB" sz="1200" b="1" i="0" u="none" strike="noStrike" baseline="0">
            <a:solidFill>
              <a:srgbClr val="000000"/>
            </a:solidFill>
            <a:latin typeface="Arial Narrow"/>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0.169</cdr:x>
      <cdr:y>0.01224</cdr:y>
    </cdr:from>
    <cdr:to>
      <cdr:x>0.90778</cdr:x>
      <cdr:y>0.06417</cdr:y>
    </cdr:to>
    <cdr:sp macro="" textlink="SC71charts!$A$1">
      <cdr:nvSpPr>
        <cdr:cNvPr id="122882" name="Text Box 2"/>
        <cdr:cNvSpPr txBox="1">
          <a:spLocks xmlns:a="http://schemas.openxmlformats.org/drawingml/2006/main" noChangeArrowheads="1" noTextEdit="1"/>
        </cdr:cNvSpPr>
      </cdr:nvSpPr>
      <cdr:spPr bwMode="auto">
        <a:xfrm xmlns:a="http://schemas.openxmlformats.org/drawingml/2006/main">
          <a:off x="1034923" y="50800"/>
          <a:ext cx="4500563"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9D16F417-FA11-474B-B6C2-7C1B3A9B7DB5}" type="TxLink">
            <a:rPr lang="en-GB" sz="1200" b="1" i="0" u="none" strike="noStrike" baseline="0">
              <a:solidFill>
                <a:srgbClr val="000000"/>
              </a:solidFill>
              <a:latin typeface="Arial Narrow"/>
            </a:rPr>
            <a:pPr algn="ctr" rtl="0">
              <a:defRPr sz="1000"/>
            </a:pPr>
            <a:t>Chart C1 2018/19 Capital Expenditure Monthly Trend: actual v target</a:t>
          </a:fld>
          <a:endParaRPr lang="en-GB" sz="1200" b="1" i="0" u="none" strike="noStrike" baseline="0">
            <a:solidFill>
              <a:srgbClr val="000000"/>
            </a:solidFill>
            <a:latin typeface="Arial Narrow"/>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volschenk/AppData/Local/Microsoft/Windows/INetCache/Content.Outlook/N9K0T9VL/WC025_C%20Schedule%20-%20mSCOA%20Ver%206.1_Quarterly%20Budget%2030%20June%202018%20(Preliminar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Financial%20Planning\Budget%20Documentation\Budget%20Schedules\C%20Shedule\2018-2019\2018-2019%20Samras%20Datafiles\C%20Schedule%20-%20Ver%202.6%20_December%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cell r="Z16" t="str">
            <v>Infrastructure - Road transport</v>
          </cell>
          <cell r="AA16" t="str">
            <v>Roads, Pavements &amp; Bridges</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cell r="Z17" t="str">
            <v>Infrastructure - Electricity</v>
          </cell>
          <cell r="AA17" t="str">
            <v>Storm water</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cell r="Z18" t="str">
            <v>Infrastructure - Water</v>
          </cell>
          <cell r="AA18" t="str">
            <v>Generation</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cell r="Z19" t="str">
            <v>Infrastructure - Sanitation</v>
          </cell>
          <cell r="AA19" t="str">
            <v>Transmission &amp; Reticulation</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cell r="Z20" t="str">
            <v>Infrastructure - Other</v>
          </cell>
          <cell r="AA20" t="str">
            <v>Street Lighting</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cell r="Z21" t="str">
            <v>Community</v>
          </cell>
          <cell r="AA21" t="str">
            <v>Dams &amp; Reservoirs</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cell r="Z22" t="str">
            <v>Heritage Assets</v>
          </cell>
          <cell r="AA22" t="str">
            <v>Water purification</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cell r="Z23" t="str">
            <v>Investment Properties</v>
          </cell>
          <cell r="AA23" t="str">
            <v>Reticulation</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cell r="Z24" t="str">
            <v>Other Assets</v>
          </cell>
          <cell r="AA24" t="str">
            <v>Sewerage purification</v>
          </cell>
        </row>
        <row r="25">
          <cell r="Z25" t="str">
            <v>Agricultural assets</v>
          </cell>
          <cell r="AA25" t="str">
            <v>Waste Management</v>
          </cell>
        </row>
        <row r="26">
          <cell r="Z26" t="str">
            <v>Biological assets</v>
          </cell>
          <cell r="AA26" t="str">
            <v>Transportation</v>
          </cell>
        </row>
        <row r="27">
          <cell r="Z27" t="str">
            <v>Intangibles</v>
          </cell>
          <cell r="AA27" t="str">
            <v>Gas</v>
          </cell>
        </row>
        <row r="28">
          <cell r="Z28" t="str">
            <v>Other</v>
          </cell>
          <cell r="AA28" t="str">
            <v>Parks &amp; gardens</v>
          </cell>
        </row>
        <row r="29">
          <cell r="AA29" t="str">
            <v>Sportsfields &amp; stadia</v>
          </cell>
        </row>
        <row r="30">
          <cell r="AA30" t="str">
            <v>Swimming pools</v>
          </cell>
        </row>
        <row r="31">
          <cell r="AA31" t="str">
            <v>Community halls</v>
          </cell>
        </row>
        <row r="32">
          <cell r="AA32" t="str">
            <v>Libraries</v>
          </cell>
        </row>
        <row r="33">
          <cell r="AA33" t="str">
            <v>Recreational facilities</v>
          </cell>
        </row>
        <row r="34">
          <cell r="AA34" t="str">
            <v>Fire, safety &amp; emergency</v>
          </cell>
        </row>
        <row r="35">
          <cell r="AA35" t="str">
            <v>Security and policing</v>
          </cell>
        </row>
        <row r="36">
          <cell r="AA36" t="str">
            <v>Buses</v>
          </cell>
        </row>
        <row r="37">
          <cell r="AA37" t="str">
            <v>Clinics</v>
          </cell>
        </row>
        <row r="38">
          <cell r="AA38" t="str">
            <v>Museums &amp; Art Galleries</v>
          </cell>
        </row>
        <row r="39">
          <cell r="AA39" t="str">
            <v>Cemeteries</v>
          </cell>
        </row>
        <row r="40">
          <cell r="AA40" t="str">
            <v>Social rental housing</v>
          </cell>
        </row>
        <row r="41">
          <cell r="AA41" t="str">
            <v>Buildings</v>
          </cell>
        </row>
        <row r="42">
          <cell r="AA42" t="str">
            <v>Housing development</v>
          </cell>
        </row>
        <row r="43">
          <cell r="AA43" t="str">
            <v>General vehicles</v>
          </cell>
        </row>
        <row r="44">
          <cell r="AA44" t="str">
            <v>Specialised vehicles - Refuse</v>
          </cell>
        </row>
        <row r="45">
          <cell r="AA45" t="str">
            <v>Specialised vehicles - Fire</v>
          </cell>
        </row>
        <row r="46">
          <cell r="AA46" t="str">
            <v>Specialised vehicles - Conservancy</v>
          </cell>
        </row>
        <row r="47">
          <cell r="AA47" t="str">
            <v>Specialised vehicles - Ambulances</v>
          </cell>
        </row>
        <row r="48">
          <cell r="AA48" t="str">
            <v>Plant &amp; equipment</v>
          </cell>
        </row>
        <row r="49">
          <cell r="AA49" t="str">
            <v>Computers - hardware/equipment</v>
          </cell>
        </row>
        <row r="50">
          <cell r="AA50" t="str">
            <v>Furniture and other office equipment</v>
          </cell>
        </row>
        <row r="51">
          <cell r="AA51" t="str">
            <v>Abattoirs</v>
          </cell>
        </row>
        <row r="52">
          <cell r="AA52" t="str">
            <v>Markets</v>
          </cell>
        </row>
        <row r="53">
          <cell r="AA53" t="str">
            <v>Civic Land and Buildings</v>
          </cell>
        </row>
        <row r="54">
          <cell r="AA54" t="str">
            <v>Other Buildings</v>
          </cell>
        </row>
        <row r="55">
          <cell r="AA55" t="str">
            <v>Other Land</v>
          </cell>
        </row>
        <row r="56">
          <cell r="AA56" t="str">
            <v>Surplus Assets - (Investment or Inventory)</v>
          </cell>
        </row>
        <row r="57">
          <cell r="AA57" t="str">
            <v>Computers - software &amp; programming</v>
          </cell>
        </row>
        <row r="58">
          <cell r="AA58"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 val="Sheet6"/>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09">
          <cell r="B109" t="str">
            <v>Consolidated Service (basic) delivery measurement</v>
          </cell>
        </row>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C1-Sum"/>
      <sheetName val="C2-FinPerf SC"/>
      <sheetName val="C2C"/>
      <sheetName val="C3-FinPerf V"/>
      <sheetName val="C3C"/>
      <sheetName val="C4-FinPerf RE"/>
      <sheetName val="C5-Capex"/>
      <sheetName val="C5C"/>
      <sheetName val="C6-FinPos"/>
      <sheetName val="C7-CFlow"/>
      <sheetName val="SC1"/>
      <sheetName val="SC2"/>
      <sheetName val="SC3"/>
      <sheetName val="SC4"/>
      <sheetName val="SC5"/>
      <sheetName val="SC6"/>
      <sheetName val="SC7(1)"/>
      <sheetName val="SC7(2)"/>
      <sheetName val="SC8"/>
      <sheetName val="SC9"/>
      <sheetName val="SC10"/>
      <sheetName val="SC11"/>
      <sheetName val="SC12"/>
      <sheetName val="SC13a"/>
      <sheetName val="SC13b"/>
      <sheetName val="SC13c"/>
      <sheetName val="SC13d"/>
      <sheetName val="SC13e"/>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Revenue By Source</v>
          </cell>
        </row>
        <row r="24">
          <cell r="A24" t="str">
            <v>Expenditure By Type</v>
          </cell>
        </row>
      </sheetData>
      <sheetData sheetId="12">
        <row r="40">
          <cell r="A40" t="str">
            <v>Total Capital Expenditure</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C1-Sum"/>
      <sheetName val="C2-FinPerf SC"/>
      <sheetName val="C2C"/>
      <sheetName val="C3-FinPerf V"/>
      <sheetName val="C3C"/>
      <sheetName val="C4-FinPerf RE"/>
      <sheetName val="C5-Capex"/>
      <sheetName val="C5C"/>
      <sheetName val="C6-FinPos"/>
      <sheetName val="C7-CFlow"/>
      <sheetName val="SC1"/>
      <sheetName val="SC2"/>
      <sheetName val="SC3"/>
      <sheetName val="SC4"/>
      <sheetName val="SC5"/>
      <sheetName val="SC6"/>
      <sheetName val="SC7(1)"/>
      <sheetName val="SC7(2)"/>
      <sheetName val="SC8"/>
      <sheetName val="SC9"/>
      <sheetName val="SC10"/>
      <sheetName val="SC11"/>
      <sheetName val="SC12"/>
      <sheetName val="SC13a"/>
      <sheetName val="SC13b"/>
      <sheetName val="SC13c"/>
      <sheetName val="SC13d"/>
      <sheetName val="SC71char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53">
          <cell r="F53">
            <v>-54400</v>
          </cell>
          <cell r="G53">
            <v>87062.18</v>
          </cell>
        </row>
        <row r="54">
          <cell r="F54">
            <v>927825.6</v>
          </cell>
          <cell r="G54">
            <v>1970930.14</v>
          </cell>
        </row>
        <row r="59">
          <cell r="F59">
            <v>133405.60999999999</v>
          </cell>
          <cell r="G59">
            <v>637112.81999999995</v>
          </cell>
        </row>
      </sheetData>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mailto:dmcthomas@bvm.gov.za" TargetMode="External"/><Relationship Id="rId13" Type="http://schemas.openxmlformats.org/officeDocument/2006/relationships/hyperlink" Target="mailto:acrotz@bvm.gov.za" TargetMode="External"/><Relationship Id="rId3" Type="http://schemas.openxmlformats.org/officeDocument/2006/relationships/hyperlink" Target="mailto:jschneider@bvm.gov.za" TargetMode="External"/><Relationship Id="rId7" Type="http://schemas.openxmlformats.org/officeDocument/2006/relationships/hyperlink" Target="mailto:slakey@bvm.gov.za" TargetMode="External"/><Relationship Id="rId12" Type="http://schemas.openxmlformats.org/officeDocument/2006/relationships/hyperlink" Target="mailto:bvolschenk@bvm.gov.za" TargetMode="External"/><Relationship Id="rId2" Type="http://schemas.openxmlformats.org/officeDocument/2006/relationships/hyperlink" Target="mailto:nmercuur@bvm.gov.za" TargetMode="External"/><Relationship Id="rId1" Type="http://schemas.openxmlformats.org/officeDocument/2006/relationships/hyperlink" Target="http://www.bvm.gov.za/" TargetMode="External"/><Relationship Id="rId6" Type="http://schemas.openxmlformats.org/officeDocument/2006/relationships/hyperlink" Target="mailto:jlevendal@bvm.gov.za" TargetMode="External"/><Relationship Id="rId11" Type="http://schemas.openxmlformats.org/officeDocument/2006/relationships/hyperlink" Target="mailto:hkamfer@bvm.gov.za" TargetMode="External"/><Relationship Id="rId5" Type="http://schemas.openxmlformats.org/officeDocument/2006/relationships/hyperlink" Target="mailto:asteyn@bvm.gov.za" TargetMode="External"/><Relationship Id="rId15" Type="http://schemas.openxmlformats.org/officeDocument/2006/relationships/printerSettings" Target="../printerSettings/printerSettings5.bin"/><Relationship Id="rId10" Type="http://schemas.openxmlformats.org/officeDocument/2006/relationships/hyperlink" Target="mailto:rontong@bvm.gov.za" TargetMode="External"/><Relationship Id="rId4" Type="http://schemas.openxmlformats.org/officeDocument/2006/relationships/hyperlink" Target="mailto:asteyn@bvm.gov.za" TargetMode="External"/><Relationship Id="rId9" Type="http://schemas.openxmlformats.org/officeDocument/2006/relationships/hyperlink" Target="mailto:mmdabuli@bvm.gov.za" TargetMode="External"/><Relationship Id="rId14" Type="http://schemas.openxmlformats.org/officeDocument/2006/relationships/hyperlink" Target="mailto:hhansen@bvm.gov.z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46"/>
    <pageSetUpPr fitToPage="1"/>
  </sheetPr>
  <dimension ref="A1"/>
  <sheetViews>
    <sheetView showGridLines="0" tabSelected="1" view="pageBreakPreview" zoomScaleNormal="100" zoomScaleSheetLayoutView="100" workbookViewId="0">
      <selection activeCell="O1" sqref="O1"/>
    </sheetView>
  </sheetViews>
  <sheetFormatPr defaultRowHeight="12.75" x14ac:dyDescent="0.2"/>
  <sheetData>
    <row r="1" spans="1:1" x14ac:dyDescent="0.2">
      <c r="A1" t="str">
        <f>muni</f>
        <v>WC025 Breede Valley</v>
      </c>
    </row>
  </sheetData>
  <sheetProtection sheet="1" objects="1" scenarios="1"/>
  <phoneticPr fontId="3" type="noConversion"/>
  <printOptions horizontalCentered="1"/>
  <pageMargins left="0.19685039370078741" right="0.19685039370078741" top="0.59055118110236227" bottom="0.59055118110236227" header="0.51181102362204722" footer="0.51181102362204722"/>
  <pageSetup paperSize="9" scale="7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0">
    <tabColor indexed="44"/>
    <pageSetUpPr fitToPage="1"/>
  </sheetPr>
  <dimension ref="A1:W47"/>
  <sheetViews>
    <sheetView showGridLines="0" showZeros="0" view="pageBreakPreview" zoomScaleNormal="100" zoomScaleSheetLayoutView="100" workbookViewId="0">
      <pane xSplit="2" ySplit="4" topLeftCell="C24" activePane="bottomRight" state="frozen"/>
      <selection pane="topRight"/>
      <selection pane="bottomLeft"/>
      <selection pane="bottomRight" activeCell="G41" sqref="G41"/>
    </sheetView>
  </sheetViews>
  <sheetFormatPr defaultColWidth="9.140625" defaultRowHeight="12.75" x14ac:dyDescent="0.25"/>
  <cols>
    <col min="1" max="1" width="34.140625" style="22" customWidth="1"/>
    <col min="2" max="2" width="3.140625" style="54" customWidth="1"/>
    <col min="3" max="8" width="8.7109375" style="22" customWidth="1"/>
    <col min="9" max="10" width="6.7109375" style="22" customWidth="1"/>
    <col min="11" max="11" width="8.7109375" style="22" customWidth="1"/>
    <col min="12" max="16384" width="9.140625" style="22"/>
  </cols>
  <sheetData>
    <row r="1" spans="1:23" ht="13.5" x14ac:dyDescent="0.25">
      <c r="A1" s="982" t="str">
        <f>muni&amp; " - "&amp;S71C&amp; " - "&amp;date</f>
        <v>WC025 Breede Valley - Table C3 Monthly Budget Statement - Financial Performance (revenue and expenditure by municipal vote) - Q4 Fourth Quarter</v>
      </c>
      <c r="B1" s="983"/>
      <c r="C1" s="983"/>
      <c r="D1" s="983"/>
      <c r="E1" s="983"/>
      <c r="F1" s="983"/>
      <c r="G1" s="983"/>
      <c r="H1" s="983"/>
      <c r="I1" s="983"/>
      <c r="J1" s="983"/>
      <c r="K1" s="984"/>
    </row>
    <row r="2" spans="1:23" x14ac:dyDescent="0.25">
      <c r="A2" s="18" t="str">
        <f>Vdesc</f>
        <v>Vote Description</v>
      </c>
      <c r="B2" s="973" t="str">
        <f>head27</f>
        <v>Ref</v>
      </c>
      <c r="C2" s="117" t="str">
        <f>Head1</f>
        <v>2017/18</v>
      </c>
      <c r="D2" s="975" t="str">
        <f>Head2</f>
        <v>Budget Year 2018/19</v>
      </c>
      <c r="E2" s="976"/>
      <c r="F2" s="976"/>
      <c r="G2" s="976"/>
      <c r="H2" s="976"/>
      <c r="I2" s="976"/>
      <c r="J2" s="976"/>
      <c r="K2" s="977"/>
    </row>
    <row r="3" spans="1:23" ht="25.5" x14ac:dyDescent="0.25">
      <c r="A3" s="141"/>
      <c r="B3" s="987"/>
      <c r="C3" s="155" t="str">
        <f>Head5</f>
        <v>Audited Outcome</v>
      </c>
      <c r="D3" s="124" t="str">
        <f>Head6</f>
        <v>Original Budget</v>
      </c>
      <c r="E3" s="24" t="str">
        <f>Head7</f>
        <v>Adjusted Budget</v>
      </c>
      <c r="F3" s="24" t="str">
        <f>Head38</f>
        <v>Monthly actual</v>
      </c>
      <c r="G3" s="24" t="str">
        <f>Head39</f>
        <v>YearTD actual</v>
      </c>
      <c r="H3" s="24" t="str">
        <f>Head40</f>
        <v>YearTD budget</v>
      </c>
      <c r="I3" s="24" t="str">
        <f>Head41</f>
        <v>YTD variance</v>
      </c>
      <c r="J3" s="191" t="str">
        <f>Head41</f>
        <v>YTD variance</v>
      </c>
      <c r="K3" s="155" t="str">
        <f>Head8</f>
        <v>Full Year Forecast</v>
      </c>
    </row>
    <row r="4" spans="1:23" x14ac:dyDescent="0.25">
      <c r="A4" s="31" t="s">
        <v>678</v>
      </c>
      <c r="B4" s="988"/>
      <c r="C4" s="187"/>
      <c r="D4" s="203"/>
      <c r="E4" s="204"/>
      <c r="F4" s="74"/>
      <c r="G4" s="74"/>
      <c r="H4" s="74"/>
      <c r="I4" s="74"/>
      <c r="J4" s="205" t="s">
        <v>586</v>
      </c>
      <c r="K4" s="187"/>
    </row>
    <row r="5" spans="1:23" ht="11.25" customHeight="1" x14ac:dyDescent="0.25">
      <c r="A5" s="32" t="s">
        <v>762</v>
      </c>
      <c r="B5" s="142">
        <v>1</v>
      </c>
      <c r="C5" s="202"/>
      <c r="D5" s="200"/>
      <c r="E5" s="201"/>
      <c r="F5" s="201"/>
      <c r="G5" s="201"/>
      <c r="H5" s="201"/>
      <c r="I5" s="201"/>
      <c r="J5" s="498"/>
      <c r="K5" s="202"/>
      <c r="L5" s="140"/>
      <c r="M5" s="140"/>
      <c r="N5" s="140"/>
      <c r="O5" s="140"/>
      <c r="P5" s="140"/>
      <c r="Q5" s="140"/>
      <c r="R5" s="140"/>
      <c r="S5" s="140"/>
      <c r="T5" s="140"/>
      <c r="U5" s="140"/>
      <c r="V5" s="140"/>
      <c r="W5" s="140"/>
    </row>
    <row r="6" spans="1:23" ht="12.75" customHeight="1" x14ac:dyDescent="0.25">
      <c r="A6" s="36" t="str">
        <f>'Org structure'!A2</f>
        <v>Vote 1 - Council General</v>
      </c>
      <c r="B6" s="142"/>
      <c r="C6" s="111">
        <f>'C3C'!C6</f>
        <v>3289640.6900000004</v>
      </c>
      <c r="D6" s="43">
        <f>'C3C'!D6</f>
        <v>138800</v>
      </c>
      <c r="E6" s="41">
        <f>'C3C'!E6</f>
        <v>74300</v>
      </c>
      <c r="F6" s="41">
        <f>'C3C'!F6</f>
        <v>42027.08</v>
      </c>
      <c r="G6" s="41">
        <f>'C3C'!G6</f>
        <v>427098.49</v>
      </c>
      <c r="H6" s="41">
        <f>'C3C'!H6</f>
        <v>74300</v>
      </c>
      <c r="I6" s="41">
        <f>G6-H6</f>
        <v>352798.49</v>
      </c>
      <c r="J6" s="499">
        <f>IF(I6=0,"",I6/H6)</f>
        <v>4.7482973082099598</v>
      </c>
      <c r="K6" s="119">
        <f>'C3C'!K6</f>
        <v>74300</v>
      </c>
      <c r="L6" s="140"/>
      <c r="M6" s="140"/>
      <c r="N6" s="140"/>
      <c r="O6" s="140"/>
      <c r="P6" s="140"/>
      <c r="Q6" s="140"/>
      <c r="R6" s="140"/>
      <c r="S6" s="140"/>
      <c r="T6" s="140"/>
      <c r="U6" s="140"/>
      <c r="V6" s="140"/>
      <c r="W6" s="140"/>
    </row>
    <row r="7" spans="1:23" ht="12.75" customHeight="1" x14ac:dyDescent="0.25">
      <c r="A7" s="36" t="str">
        <f>'Org structure'!A3</f>
        <v>Vote 2 - Municipal Manager</v>
      </c>
      <c r="B7" s="142"/>
      <c r="C7" s="111">
        <f>'C3C'!C17</f>
        <v>8607815.3399999999</v>
      </c>
      <c r="D7" s="43">
        <f>'C3C'!D17</f>
        <v>3200000</v>
      </c>
      <c r="E7" s="41">
        <f>'C3C'!E17</f>
        <v>7315172</v>
      </c>
      <c r="F7" s="41">
        <f>'C3C'!F17</f>
        <v>0</v>
      </c>
      <c r="G7" s="41">
        <f>'C3C'!G17</f>
        <v>0</v>
      </c>
      <c r="H7" s="41">
        <f>'C3C'!H17</f>
        <v>7315172</v>
      </c>
      <c r="I7" s="41">
        <f t="shared" ref="I7:I20" si="0">G7-H7</f>
        <v>-7315172</v>
      </c>
      <c r="J7" s="499">
        <f t="shared" ref="J7:J21" si="1">IF(I7=0,"",I7/H7)</f>
        <v>-1</v>
      </c>
      <c r="K7" s="119">
        <f>'C3C'!K17</f>
        <v>7315172</v>
      </c>
      <c r="L7" s="140"/>
      <c r="M7" s="140"/>
      <c r="N7" s="140"/>
      <c r="O7" s="140"/>
      <c r="P7" s="140"/>
      <c r="Q7" s="140"/>
      <c r="R7" s="140"/>
      <c r="S7" s="140"/>
      <c r="T7" s="140"/>
      <c r="U7" s="140"/>
      <c r="V7" s="140"/>
      <c r="W7" s="140"/>
    </row>
    <row r="8" spans="1:23" ht="12.75" customHeight="1" x14ac:dyDescent="0.25">
      <c r="A8" s="36" t="str">
        <f>'Org structure'!A4</f>
        <v>Vote 3 - Strategic Support Services</v>
      </c>
      <c r="B8" s="142"/>
      <c r="C8" s="111">
        <f>'C3C'!C28</f>
        <v>477424.7</v>
      </c>
      <c r="D8" s="43">
        <f>'C3C'!D28</f>
        <v>3133585</v>
      </c>
      <c r="E8" s="41">
        <f>'C3C'!E28</f>
        <v>1669715</v>
      </c>
      <c r="F8" s="41">
        <f>'C3C'!F28</f>
        <v>171398.43</v>
      </c>
      <c r="G8" s="41">
        <f>'C3C'!G28</f>
        <v>1533009.55</v>
      </c>
      <c r="H8" s="41">
        <f>'C3C'!H28</f>
        <v>1669715</v>
      </c>
      <c r="I8" s="41">
        <f t="shared" si="0"/>
        <v>-136705.44999999995</v>
      </c>
      <c r="J8" s="499">
        <f t="shared" si="1"/>
        <v>-8.1873523325837014E-2</v>
      </c>
      <c r="K8" s="119">
        <f>'C3C'!K28</f>
        <v>1669715</v>
      </c>
      <c r="L8" s="140"/>
      <c r="M8" s="140"/>
      <c r="N8" s="140"/>
      <c r="O8" s="140"/>
      <c r="P8" s="140"/>
      <c r="Q8" s="140"/>
      <c r="R8" s="140"/>
      <c r="S8" s="140"/>
      <c r="T8" s="140"/>
      <c r="U8" s="140"/>
      <c r="V8" s="140"/>
      <c r="W8" s="140"/>
    </row>
    <row r="9" spans="1:23" ht="12.75" customHeight="1" x14ac:dyDescent="0.25">
      <c r="A9" s="36" t="str">
        <f>'Org structure'!A5</f>
        <v>Vote 4 - Financial Services</v>
      </c>
      <c r="B9" s="142"/>
      <c r="C9" s="111">
        <f>'C3C'!C39</f>
        <v>179070255.17000002</v>
      </c>
      <c r="D9" s="43">
        <f>'C3C'!D39</f>
        <v>195678542</v>
      </c>
      <c r="E9" s="41">
        <f>'C3C'!E39</f>
        <v>185629918</v>
      </c>
      <c r="F9" s="41">
        <f>'C3C'!F39</f>
        <v>11169068.909999998</v>
      </c>
      <c r="G9" s="41">
        <f>'C3C'!G39</f>
        <v>189361236.30000001</v>
      </c>
      <c r="H9" s="41">
        <f>'C3C'!H39</f>
        <v>185629918</v>
      </c>
      <c r="I9" s="41">
        <f t="shared" si="0"/>
        <v>3731318.3000000119</v>
      </c>
      <c r="J9" s="499">
        <f t="shared" si="1"/>
        <v>2.0100845489787977E-2</v>
      </c>
      <c r="K9" s="119">
        <f>'C3C'!K39</f>
        <v>185629918</v>
      </c>
      <c r="L9" s="140"/>
      <c r="M9" s="140"/>
      <c r="N9" s="140"/>
      <c r="O9" s="140"/>
      <c r="P9" s="140"/>
      <c r="Q9" s="140"/>
      <c r="R9" s="140"/>
      <c r="S9" s="140"/>
      <c r="T9" s="140"/>
      <c r="U9" s="140"/>
      <c r="V9" s="140"/>
      <c r="W9" s="140"/>
    </row>
    <row r="10" spans="1:23" ht="12.75" customHeight="1" x14ac:dyDescent="0.25">
      <c r="A10" s="36" t="str">
        <f>'Org structure'!A6</f>
        <v>Vote 5 - Community Services</v>
      </c>
      <c r="B10" s="142"/>
      <c r="C10" s="111">
        <f>'C3C'!C50</f>
        <v>169578035.90000001</v>
      </c>
      <c r="D10" s="43">
        <f>'C3C'!D50</f>
        <v>148562456</v>
      </c>
      <c r="E10" s="41">
        <f>'C3C'!E50</f>
        <v>193079648</v>
      </c>
      <c r="F10" s="41">
        <f>'C3C'!F50</f>
        <v>18588217.759999998</v>
      </c>
      <c r="G10" s="41">
        <f>'C3C'!G50</f>
        <v>166419249.59999999</v>
      </c>
      <c r="H10" s="41">
        <f>'C3C'!H50</f>
        <v>193079648</v>
      </c>
      <c r="I10" s="41">
        <f t="shared" si="0"/>
        <v>-26660398.400000006</v>
      </c>
      <c r="J10" s="499">
        <f t="shared" si="1"/>
        <v>-0.13807979596068046</v>
      </c>
      <c r="K10" s="119">
        <f>'C3C'!K50</f>
        <v>193079648</v>
      </c>
      <c r="L10" s="140"/>
      <c r="M10" s="140"/>
      <c r="N10" s="140"/>
      <c r="O10" s="140"/>
      <c r="P10" s="140"/>
      <c r="Q10" s="140"/>
      <c r="R10" s="140"/>
      <c r="S10" s="140"/>
      <c r="T10" s="140"/>
      <c r="U10" s="140"/>
      <c r="V10" s="140"/>
      <c r="W10" s="140"/>
    </row>
    <row r="11" spans="1:23" ht="12.75" customHeight="1" x14ac:dyDescent="0.25">
      <c r="A11" s="36" t="str">
        <f>'Org structure'!A7</f>
        <v>Vote 6 - Technical Services</v>
      </c>
      <c r="B11" s="142"/>
      <c r="C11" s="111">
        <f>'C3C'!C61</f>
        <v>698499524.90999997</v>
      </c>
      <c r="D11" s="43">
        <f>'C3C'!D61</f>
        <v>784505664</v>
      </c>
      <c r="E11" s="41">
        <f>'C3C'!E61</f>
        <v>789667692</v>
      </c>
      <c r="F11" s="41">
        <f>'C3C'!F61</f>
        <v>51205595.460000001</v>
      </c>
      <c r="G11" s="41">
        <f>'C3C'!G61</f>
        <v>604794135.54999995</v>
      </c>
      <c r="H11" s="41">
        <f>'C3C'!H61</f>
        <v>789667692</v>
      </c>
      <c r="I11" s="41">
        <f t="shared" si="0"/>
        <v>-184873556.45000005</v>
      </c>
      <c r="J11" s="499">
        <f t="shared" si="1"/>
        <v>-0.23411563917699199</v>
      </c>
      <c r="K11" s="119">
        <f>'C3C'!K61</f>
        <v>789667692</v>
      </c>
      <c r="L11" s="140"/>
      <c r="M11" s="140"/>
      <c r="N11" s="140"/>
      <c r="O11" s="140"/>
      <c r="P11" s="140"/>
      <c r="Q11" s="140"/>
      <c r="R11" s="140"/>
      <c r="S11" s="140"/>
      <c r="T11" s="140"/>
      <c r="U11" s="140"/>
      <c r="V11" s="140"/>
      <c r="W11" s="140"/>
    </row>
    <row r="12" spans="1:23" ht="11.25" customHeight="1" x14ac:dyDescent="0.25">
      <c r="A12" s="36" t="str">
        <f>'Org structure'!A8</f>
        <v>Vote 7 - [NAME OF VOTE 7]</v>
      </c>
      <c r="B12" s="142"/>
      <c r="C12" s="111">
        <f>'C3C'!C72</f>
        <v>0</v>
      </c>
      <c r="D12" s="43">
        <f>'C3C'!D72</f>
        <v>0</v>
      </c>
      <c r="E12" s="41">
        <f>'C3C'!E72</f>
        <v>0</v>
      </c>
      <c r="F12" s="41">
        <f>'C3C'!F72</f>
        <v>0</v>
      </c>
      <c r="G12" s="41">
        <f>'C3C'!G72</f>
        <v>0</v>
      </c>
      <c r="H12" s="41">
        <f>'C3C'!H72</f>
        <v>0</v>
      </c>
      <c r="I12" s="41">
        <f t="shared" si="0"/>
        <v>0</v>
      </c>
      <c r="J12" s="499" t="str">
        <f t="shared" si="1"/>
        <v/>
      </c>
      <c r="K12" s="119">
        <f>'C3C'!K72</f>
        <v>0</v>
      </c>
      <c r="L12" s="140"/>
      <c r="M12" s="140"/>
      <c r="N12" s="140"/>
      <c r="O12" s="140"/>
      <c r="P12" s="140"/>
      <c r="Q12" s="140"/>
      <c r="R12" s="140"/>
      <c r="S12" s="140"/>
      <c r="T12" s="140"/>
      <c r="U12" s="140"/>
      <c r="V12" s="140"/>
      <c r="W12" s="140"/>
    </row>
    <row r="13" spans="1:23" ht="11.25" customHeight="1" x14ac:dyDescent="0.25">
      <c r="A13" s="36" t="str">
        <f>'Org structure'!A9</f>
        <v>Vote 8 - [NAME OF VOTE 8]</v>
      </c>
      <c r="B13" s="142"/>
      <c r="C13" s="111">
        <f>'C3C'!C83</f>
        <v>0</v>
      </c>
      <c r="D13" s="43">
        <f>'C3C'!D83</f>
        <v>0</v>
      </c>
      <c r="E13" s="41">
        <f>'C3C'!E83</f>
        <v>0</v>
      </c>
      <c r="F13" s="41">
        <f>'C3C'!F83</f>
        <v>0</v>
      </c>
      <c r="G13" s="41">
        <f>'C3C'!G83</f>
        <v>0</v>
      </c>
      <c r="H13" s="41">
        <f>'C3C'!H83</f>
        <v>0</v>
      </c>
      <c r="I13" s="41">
        <f t="shared" si="0"/>
        <v>0</v>
      </c>
      <c r="J13" s="499" t="str">
        <f t="shared" si="1"/>
        <v/>
      </c>
      <c r="K13" s="119">
        <f>'C3C'!K83</f>
        <v>0</v>
      </c>
      <c r="L13" s="140"/>
      <c r="M13" s="140"/>
      <c r="N13" s="140"/>
      <c r="O13" s="140"/>
      <c r="P13" s="140"/>
      <c r="Q13" s="140"/>
      <c r="R13" s="140"/>
      <c r="S13" s="140"/>
      <c r="T13" s="140"/>
      <c r="U13" s="140"/>
      <c r="V13" s="140"/>
      <c r="W13" s="140"/>
    </row>
    <row r="14" spans="1:23" ht="11.25" customHeight="1" x14ac:dyDescent="0.25">
      <c r="A14" s="36" t="str">
        <f>'Org structure'!A10</f>
        <v>Vote 9 - [NAME OF VOTE 9]</v>
      </c>
      <c r="B14" s="142"/>
      <c r="C14" s="111">
        <f>'C3C'!C94</f>
        <v>0</v>
      </c>
      <c r="D14" s="43">
        <f>'C3C'!D94</f>
        <v>0</v>
      </c>
      <c r="E14" s="41">
        <f>'C3C'!E94</f>
        <v>0</v>
      </c>
      <c r="F14" s="41">
        <f>'C3C'!F94</f>
        <v>0</v>
      </c>
      <c r="G14" s="41">
        <f>'C3C'!G94</f>
        <v>0</v>
      </c>
      <c r="H14" s="41">
        <f>'C3C'!H94</f>
        <v>0</v>
      </c>
      <c r="I14" s="41">
        <f t="shared" si="0"/>
        <v>0</v>
      </c>
      <c r="J14" s="499" t="str">
        <f t="shared" si="1"/>
        <v/>
      </c>
      <c r="K14" s="119">
        <f>'C3C'!K94</f>
        <v>0</v>
      </c>
      <c r="L14" s="140"/>
      <c r="M14" s="140"/>
      <c r="N14" s="140"/>
      <c r="O14" s="140"/>
      <c r="P14" s="140"/>
      <c r="Q14" s="140"/>
      <c r="R14" s="140"/>
      <c r="S14" s="140"/>
      <c r="T14" s="140"/>
      <c r="U14" s="140"/>
      <c r="V14" s="140"/>
      <c r="W14" s="140"/>
    </row>
    <row r="15" spans="1:23" ht="11.25" customHeight="1" x14ac:dyDescent="0.25">
      <c r="A15" s="36" t="str">
        <f>'Org structure'!A11</f>
        <v>Vote 10 - [NAME OF VOTE 10]</v>
      </c>
      <c r="B15" s="142"/>
      <c r="C15" s="111">
        <f>'C3C'!C105</f>
        <v>0</v>
      </c>
      <c r="D15" s="43">
        <f>'C3C'!D105</f>
        <v>0</v>
      </c>
      <c r="E15" s="41">
        <f>'C3C'!E105</f>
        <v>0</v>
      </c>
      <c r="F15" s="41">
        <f>'C3C'!F105</f>
        <v>0</v>
      </c>
      <c r="G15" s="41">
        <f>'C3C'!G105</f>
        <v>0</v>
      </c>
      <c r="H15" s="41">
        <f>'C3C'!H105</f>
        <v>0</v>
      </c>
      <c r="I15" s="41">
        <f t="shared" si="0"/>
        <v>0</v>
      </c>
      <c r="J15" s="499" t="str">
        <f t="shared" si="1"/>
        <v/>
      </c>
      <c r="K15" s="119">
        <f>'C3C'!K105</f>
        <v>0</v>
      </c>
      <c r="L15" s="140"/>
      <c r="M15" s="140"/>
      <c r="N15" s="140"/>
      <c r="O15" s="140"/>
      <c r="P15" s="140"/>
      <c r="Q15" s="140"/>
      <c r="R15" s="140"/>
      <c r="S15" s="140"/>
      <c r="T15" s="140"/>
      <c r="U15" s="140"/>
      <c r="V15" s="140"/>
      <c r="W15" s="140"/>
    </row>
    <row r="16" spans="1:23" ht="11.25" customHeight="1" x14ac:dyDescent="0.25">
      <c r="A16" s="36" t="str">
        <f>'Org structure'!A12</f>
        <v>Vote 11 - [NAME OF VOTE 11]</v>
      </c>
      <c r="B16" s="142"/>
      <c r="C16" s="111">
        <f>'C3C'!C116</f>
        <v>0</v>
      </c>
      <c r="D16" s="43">
        <f>'C3C'!D116</f>
        <v>0</v>
      </c>
      <c r="E16" s="41">
        <f>'C3C'!E116</f>
        <v>0</v>
      </c>
      <c r="F16" s="41">
        <f>'C3C'!F116</f>
        <v>0</v>
      </c>
      <c r="G16" s="41">
        <f>'C3C'!G116</f>
        <v>0</v>
      </c>
      <c r="H16" s="41">
        <f>'C3C'!H116</f>
        <v>0</v>
      </c>
      <c r="I16" s="41">
        <f t="shared" si="0"/>
        <v>0</v>
      </c>
      <c r="J16" s="499" t="str">
        <f t="shared" si="1"/>
        <v/>
      </c>
      <c r="K16" s="119">
        <f>'C3C'!K116</f>
        <v>0</v>
      </c>
      <c r="M16" s="140"/>
      <c r="N16" s="140"/>
      <c r="O16" s="140"/>
      <c r="P16" s="140"/>
      <c r="Q16" s="140"/>
      <c r="R16" s="140"/>
      <c r="S16" s="140"/>
      <c r="T16" s="140"/>
      <c r="U16" s="140"/>
      <c r="V16" s="140"/>
      <c r="W16" s="140"/>
    </row>
    <row r="17" spans="1:23" ht="11.25" customHeight="1" x14ac:dyDescent="0.25">
      <c r="A17" s="36" t="str">
        <f>'Org structure'!A13</f>
        <v>Vote 12 - [NAME OF VOTE 12]</v>
      </c>
      <c r="B17" s="142"/>
      <c r="C17" s="111">
        <f>'C3C'!C127</f>
        <v>0</v>
      </c>
      <c r="D17" s="43">
        <f>'C3C'!D127</f>
        <v>0</v>
      </c>
      <c r="E17" s="41">
        <f>'C3C'!E127</f>
        <v>0</v>
      </c>
      <c r="F17" s="41">
        <f>'C3C'!F127</f>
        <v>0</v>
      </c>
      <c r="G17" s="41">
        <f>'C3C'!G127</f>
        <v>0</v>
      </c>
      <c r="H17" s="41">
        <f>'C3C'!H127</f>
        <v>0</v>
      </c>
      <c r="I17" s="41">
        <f t="shared" si="0"/>
        <v>0</v>
      </c>
      <c r="J17" s="499" t="str">
        <f t="shared" si="1"/>
        <v/>
      </c>
      <c r="K17" s="119">
        <f>'C3C'!K127</f>
        <v>0</v>
      </c>
      <c r="M17" s="140"/>
      <c r="N17" s="140"/>
      <c r="O17" s="140"/>
      <c r="P17" s="140"/>
      <c r="Q17" s="140"/>
      <c r="R17" s="140"/>
      <c r="S17" s="140"/>
      <c r="T17" s="140"/>
      <c r="U17" s="140"/>
      <c r="V17" s="140"/>
      <c r="W17" s="140"/>
    </row>
    <row r="18" spans="1:23" ht="11.25" customHeight="1" x14ac:dyDescent="0.25">
      <c r="A18" s="36" t="str">
        <f>'Org structure'!A14</f>
        <v>Vote 13 - [NAME OF VOTE 13]</v>
      </c>
      <c r="B18" s="142"/>
      <c r="C18" s="111">
        <f>'C3C'!C138</f>
        <v>0</v>
      </c>
      <c r="D18" s="43">
        <f>'C3C'!D138</f>
        <v>0</v>
      </c>
      <c r="E18" s="41">
        <f>'C3C'!E138</f>
        <v>0</v>
      </c>
      <c r="F18" s="41">
        <f>'C3C'!F138</f>
        <v>0</v>
      </c>
      <c r="G18" s="41">
        <f>'C3C'!G138</f>
        <v>0</v>
      </c>
      <c r="H18" s="41">
        <f>'C3C'!H138</f>
        <v>0</v>
      </c>
      <c r="I18" s="41">
        <f t="shared" si="0"/>
        <v>0</v>
      </c>
      <c r="J18" s="499" t="str">
        <f t="shared" si="1"/>
        <v/>
      </c>
      <c r="K18" s="119">
        <f>'C3C'!K138</f>
        <v>0</v>
      </c>
      <c r="M18" s="140"/>
      <c r="N18" s="140"/>
      <c r="O18" s="140"/>
      <c r="P18" s="140"/>
      <c r="Q18" s="140"/>
      <c r="R18" s="140"/>
      <c r="S18" s="140"/>
      <c r="T18" s="140"/>
      <c r="U18" s="140"/>
      <c r="V18" s="140"/>
      <c r="W18" s="140"/>
    </row>
    <row r="19" spans="1:23" ht="11.25" customHeight="1" x14ac:dyDescent="0.25">
      <c r="A19" s="36" t="str">
        <f>'Org structure'!A15</f>
        <v>Vote 14 - [NAME OF VOTE 14]</v>
      </c>
      <c r="B19" s="142"/>
      <c r="C19" s="111">
        <f>'C3C'!C149</f>
        <v>0</v>
      </c>
      <c r="D19" s="43">
        <f>'C3C'!D149</f>
        <v>0</v>
      </c>
      <c r="E19" s="41">
        <f>'C3C'!E149</f>
        <v>0</v>
      </c>
      <c r="F19" s="41">
        <f>'C3C'!F149</f>
        <v>0</v>
      </c>
      <c r="G19" s="41">
        <f>'C3C'!G149</f>
        <v>0</v>
      </c>
      <c r="H19" s="41">
        <f>'C3C'!H149</f>
        <v>0</v>
      </c>
      <c r="I19" s="41">
        <f t="shared" si="0"/>
        <v>0</v>
      </c>
      <c r="J19" s="499" t="str">
        <f t="shared" si="1"/>
        <v/>
      </c>
      <c r="K19" s="119">
        <f>'C3C'!K149</f>
        <v>0</v>
      </c>
      <c r="M19" s="140"/>
      <c r="N19" s="140"/>
      <c r="O19" s="140"/>
      <c r="P19" s="140"/>
      <c r="Q19" s="140"/>
      <c r="R19" s="140"/>
      <c r="S19" s="140"/>
      <c r="T19" s="140"/>
      <c r="U19" s="140"/>
      <c r="V19" s="140"/>
      <c r="W19" s="140"/>
    </row>
    <row r="20" spans="1:23" ht="12" customHeight="1" x14ac:dyDescent="0.25">
      <c r="A20" s="36" t="str">
        <f>'Org structure'!A16</f>
        <v>Vote 15 - [NAME OF VOTE 15]</v>
      </c>
      <c r="B20" s="142"/>
      <c r="C20" s="111">
        <f>'C3C'!C160</f>
        <v>0</v>
      </c>
      <c r="D20" s="43">
        <f>'C3C'!D160</f>
        <v>0</v>
      </c>
      <c r="E20" s="41">
        <f>'C3C'!E160</f>
        <v>0</v>
      </c>
      <c r="F20" s="41">
        <f>'C3C'!F160</f>
        <v>0</v>
      </c>
      <c r="G20" s="41">
        <f>'C3C'!G160</f>
        <v>0</v>
      </c>
      <c r="H20" s="41">
        <f>'C3C'!H160</f>
        <v>0</v>
      </c>
      <c r="I20" s="41">
        <f t="shared" si="0"/>
        <v>0</v>
      </c>
      <c r="J20" s="499" t="str">
        <f t="shared" si="1"/>
        <v/>
      </c>
      <c r="K20" s="119">
        <f>'C3C'!K160</f>
        <v>0</v>
      </c>
      <c r="M20" s="140"/>
      <c r="N20" s="140"/>
      <c r="O20" s="140"/>
      <c r="P20" s="140"/>
      <c r="Q20" s="140"/>
      <c r="R20" s="140"/>
      <c r="S20" s="140"/>
      <c r="T20" s="140"/>
      <c r="U20" s="140"/>
      <c r="V20" s="140"/>
      <c r="W20" s="140"/>
    </row>
    <row r="21" spans="1:23" ht="12.75" customHeight="1" x14ac:dyDescent="0.25">
      <c r="A21" s="81" t="s">
        <v>646</v>
      </c>
      <c r="B21" s="196">
        <v>2</v>
      </c>
      <c r="C21" s="120">
        <f>SUM(C6:C20)</f>
        <v>1059522696.71</v>
      </c>
      <c r="D21" s="66">
        <f t="shared" ref="D21:I21" si="2">SUM(D6:D20)</f>
        <v>1135219047</v>
      </c>
      <c r="E21" s="65">
        <f t="shared" si="2"/>
        <v>1177436445</v>
      </c>
      <c r="F21" s="65">
        <f t="shared" si="2"/>
        <v>81176307.640000001</v>
      </c>
      <c r="G21" s="65">
        <f t="shared" si="2"/>
        <v>962534729.49000001</v>
      </c>
      <c r="H21" s="65">
        <f t="shared" si="2"/>
        <v>1177436445</v>
      </c>
      <c r="I21" s="65">
        <f t="shared" si="2"/>
        <v>-214901715.51000005</v>
      </c>
      <c r="J21" s="500">
        <f t="shared" si="1"/>
        <v>-0.182516616011491</v>
      </c>
      <c r="K21" s="120">
        <f>SUM(K6:K20)</f>
        <v>1177436445</v>
      </c>
      <c r="L21" s="55"/>
      <c r="M21" s="55"/>
      <c r="N21" s="55"/>
      <c r="O21" s="55"/>
      <c r="P21" s="55"/>
      <c r="Q21" s="55"/>
      <c r="R21" s="55"/>
      <c r="S21" s="55"/>
      <c r="T21" s="55"/>
      <c r="U21" s="55"/>
      <c r="V21" s="55"/>
      <c r="W21" s="55"/>
    </row>
    <row r="22" spans="1:23" ht="5.0999999999999996" customHeight="1" x14ac:dyDescent="0.25">
      <c r="A22" s="39"/>
      <c r="B22" s="142"/>
      <c r="C22" s="119"/>
      <c r="D22" s="43"/>
      <c r="E22" s="41"/>
      <c r="F22" s="41"/>
      <c r="G22" s="41"/>
      <c r="H22" s="41"/>
      <c r="I22" s="41"/>
      <c r="J22" s="501"/>
      <c r="K22" s="119"/>
      <c r="L22" s="76"/>
      <c r="M22" s="76"/>
      <c r="N22" s="76"/>
      <c r="O22" s="76"/>
      <c r="P22" s="76"/>
      <c r="Q22" s="76"/>
      <c r="R22" s="76"/>
      <c r="S22" s="76"/>
      <c r="T22" s="76"/>
      <c r="U22" s="76"/>
      <c r="V22" s="76"/>
      <c r="W22" s="76"/>
    </row>
    <row r="23" spans="1:23" ht="12.75" customHeight="1" x14ac:dyDescent="0.25">
      <c r="A23" s="32" t="s">
        <v>763</v>
      </c>
      <c r="B23" s="142">
        <v>1</v>
      </c>
      <c r="C23" s="119"/>
      <c r="D23" s="43"/>
      <c r="E23" s="41"/>
      <c r="F23" s="41"/>
      <c r="G23" s="41"/>
      <c r="H23" s="41"/>
      <c r="I23" s="41"/>
      <c r="J23" s="501"/>
      <c r="K23" s="119"/>
      <c r="L23" s="76"/>
      <c r="M23" s="76"/>
      <c r="N23" s="76"/>
      <c r="O23" s="76"/>
      <c r="P23" s="76"/>
      <c r="Q23" s="76"/>
      <c r="R23" s="76"/>
      <c r="S23" s="76"/>
      <c r="T23" s="76"/>
      <c r="U23" s="76"/>
      <c r="V23" s="76"/>
      <c r="W23" s="76"/>
    </row>
    <row r="24" spans="1:23" ht="12.75" customHeight="1" x14ac:dyDescent="0.25">
      <c r="A24" s="36" t="str">
        <f>'Org structure'!A2</f>
        <v>Vote 1 - Council General</v>
      </c>
      <c r="B24" s="142"/>
      <c r="C24" s="111">
        <f>'C3C'!C174</f>
        <v>35135228.299999997</v>
      </c>
      <c r="D24" s="43">
        <f>'C3C'!D174</f>
        <v>34745215</v>
      </c>
      <c r="E24" s="41">
        <f>'C3C'!E174</f>
        <v>33192346</v>
      </c>
      <c r="F24" s="41">
        <f>'C3C'!F174</f>
        <v>2450967.19</v>
      </c>
      <c r="G24" s="41">
        <f>'C3C'!G174</f>
        <v>28604754.020000003</v>
      </c>
      <c r="H24" s="41">
        <f>'C3C'!H174</f>
        <v>33192346</v>
      </c>
      <c r="I24" s="41">
        <f t="shared" ref="I24:I38" si="3">G24-H24</f>
        <v>-4587591.9799999967</v>
      </c>
      <c r="J24" s="499">
        <f t="shared" ref="J24:J29" si="4">IF(I24=0,"",I24/H24)</f>
        <v>-0.13821234509907787</v>
      </c>
      <c r="K24" s="119">
        <f>'C3C'!K174</f>
        <v>33192346</v>
      </c>
      <c r="L24" s="76"/>
      <c r="M24" s="76"/>
      <c r="N24" s="76"/>
      <c r="O24" s="76"/>
      <c r="P24" s="76"/>
      <c r="Q24" s="76"/>
      <c r="R24" s="76"/>
      <c r="S24" s="76"/>
      <c r="T24" s="76"/>
      <c r="U24" s="76"/>
      <c r="V24" s="76"/>
      <c r="W24" s="76"/>
    </row>
    <row r="25" spans="1:23" ht="12.75" customHeight="1" x14ac:dyDescent="0.25">
      <c r="A25" s="36" t="str">
        <f>'Org structure'!A3</f>
        <v>Vote 2 - Municipal Manager</v>
      </c>
      <c r="B25" s="142"/>
      <c r="C25" s="111">
        <f>'C3C'!C185</f>
        <v>8798641.9699999988</v>
      </c>
      <c r="D25" s="43">
        <f>'C3C'!D185</f>
        <v>9825686</v>
      </c>
      <c r="E25" s="41">
        <f>'C3C'!E185</f>
        <v>9748308</v>
      </c>
      <c r="F25" s="41">
        <f>'C3C'!F185</f>
        <v>957415.37999999989</v>
      </c>
      <c r="G25" s="41">
        <f>'C3C'!G185</f>
        <v>8872623.6500000004</v>
      </c>
      <c r="H25" s="41">
        <f>'C3C'!H185</f>
        <v>9748308</v>
      </c>
      <c r="I25" s="41">
        <f t="shared" si="3"/>
        <v>-875684.34999999963</v>
      </c>
      <c r="J25" s="499">
        <f t="shared" si="4"/>
        <v>-8.9829368337561721E-2</v>
      </c>
      <c r="K25" s="119">
        <f>'C3C'!K185</f>
        <v>9748308</v>
      </c>
      <c r="L25" s="76"/>
      <c r="M25" s="76"/>
      <c r="N25" s="76"/>
      <c r="O25" s="76"/>
      <c r="P25" s="76"/>
      <c r="Q25" s="76"/>
      <c r="R25" s="76"/>
      <c r="S25" s="76"/>
      <c r="T25" s="76"/>
      <c r="U25" s="76"/>
      <c r="V25" s="76"/>
      <c r="W25" s="76"/>
    </row>
    <row r="26" spans="1:23" ht="12.75" customHeight="1" x14ac:dyDescent="0.25">
      <c r="A26" s="36" t="str">
        <f>'Org structure'!A4</f>
        <v>Vote 3 - Strategic Support Services</v>
      </c>
      <c r="B26" s="142"/>
      <c r="C26" s="111">
        <f>'C3C'!C196</f>
        <v>51388244.109999999</v>
      </c>
      <c r="D26" s="43">
        <f>'C3C'!D196</f>
        <v>56733995</v>
      </c>
      <c r="E26" s="41">
        <f>'C3C'!E196</f>
        <v>59415719</v>
      </c>
      <c r="F26" s="41">
        <f>'C3C'!F196</f>
        <v>5630894.8399999989</v>
      </c>
      <c r="G26" s="41">
        <f>'C3C'!G196</f>
        <v>54389995.989999995</v>
      </c>
      <c r="H26" s="41">
        <f>'C3C'!H196</f>
        <v>59415719</v>
      </c>
      <c r="I26" s="41">
        <f t="shared" si="3"/>
        <v>-5025723.0100000054</v>
      </c>
      <c r="J26" s="499">
        <f t="shared" si="4"/>
        <v>-8.4585747586425827E-2</v>
      </c>
      <c r="K26" s="119">
        <f>'C3C'!K196</f>
        <v>59415719</v>
      </c>
      <c r="L26" s="76"/>
      <c r="M26" s="76"/>
      <c r="N26" s="76"/>
      <c r="O26" s="76"/>
      <c r="P26" s="76"/>
      <c r="Q26" s="76"/>
      <c r="R26" s="76"/>
      <c r="S26" s="76"/>
      <c r="T26" s="76"/>
      <c r="U26" s="76"/>
      <c r="V26" s="76"/>
      <c r="W26" s="76"/>
    </row>
    <row r="27" spans="1:23" ht="12.75" customHeight="1" x14ac:dyDescent="0.25">
      <c r="A27" s="36" t="str">
        <f>'Org structure'!A5</f>
        <v>Vote 4 - Financial Services</v>
      </c>
      <c r="B27" s="142"/>
      <c r="C27" s="111">
        <f>'C3C'!C207</f>
        <v>61792081.650000013</v>
      </c>
      <c r="D27" s="43">
        <f>'C3C'!D207</f>
        <v>82572664</v>
      </c>
      <c r="E27" s="41">
        <f>'C3C'!E207</f>
        <v>74038770</v>
      </c>
      <c r="F27" s="41">
        <f>'C3C'!F207</f>
        <v>4563493.32</v>
      </c>
      <c r="G27" s="41">
        <f>'C3C'!G207</f>
        <v>58220888.370000005</v>
      </c>
      <c r="H27" s="41">
        <f>'C3C'!H207</f>
        <v>74038770</v>
      </c>
      <c r="I27" s="41">
        <f t="shared" si="3"/>
        <v>-15817881.629999995</v>
      </c>
      <c r="J27" s="499">
        <f t="shared" si="4"/>
        <v>-0.21364322543445813</v>
      </c>
      <c r="K27" s="119">
        <f>'C3C'!K207</f>
        <v>74038770</v>
      </c>
      <c r="L27" s="76"/>
      <c r="M27" s="76"/>
      <c r="N27" s="76"/>
      <c r="O27" s="76"/>
      <c r="P27" s="76"/>
      <c r="Q27" s="76"/>
      <c r="R27" s="76"/>
      <c r="S27" s="76"/>
      <c r="T27" s="76"/>
      <c r="U27" s="76"/>
      <c r="V27" s="76"/>
      <c r="W27" s="76"/>
    </row>
    <row r="28" spans="1:23" ht="12.75" customHeight="1" x14ac:dyDescent="0.25">
      <c r="A28" s="36" t="str">
        <f>'Org structure'!A6</f>
        <v>Vote 5 - Community Services</v>
      </c>
      <c r="B28" s="142"/>
      <c r="C28" s="111">
        <f>'C3C'!C218</f>
        <v>216077680.79000002</v>
      </c>
      <c r="D28" s="43">
        <f>'C3C'!D218</f>
        <v>198798077</v>
      </c>
      <c r="E28" s="41">
        <f>'C3C'!E218</f>
        <v>213401612</v>
      </c>
      <c r="F28" s="41">
        <f>'C3C'!F218</f>
        <v>7329778.5799999982</v>
      </c>
      <c r="G28" s="41">
        <f>'C3C'!G218</f>
        <v>203941161.72999996</v>
      </c>
      <c r="H28" s="41">
        <f>'C3C'!H218</f>
        <v>213401612</v>
      </c>
      <c r="I28" s="41">
        <f t="shared" si="3"/>
        <v>-9460450.2700000405</v>
      </c>
      <c r="J28" s="499">
        <f t="shared" si="4"/>
        <v>-4.4331672011924825E-2</v>
      </c>
      <c r="K28" s="119">
        <f>'C3C'!K218</f>
        <v>213401612</v>
      </c>
      <c r="L28" s="76"/>
      <c r="M28" s="76"/>
      <c r="N28" s="76"/>
      <c r="O28" s="76"/>
      <c r="P28" s="76"/>
      <c r="Q28" s="76"/>
      <c r="R28" s="76"/>
      <c r="S28" s="76"/>
      <c r="T28" s="76"/>
      <c r="U28" s="76"/>
      <c r="V28" s="76"/>
      <c r="W28" s="76"/>
    </row>
    <row r="29" spans="1:23" ht="12.75" customHeight="1" x14ac:dyDescent="0.25">
      <c r="A29" s="36" t="str">
        <f>'Org structure'!A7</f>
        <v>Vote 6 - Technical Services</v>
      </c>
      <c r="B29" s="142"/>
      <c r="C29" s="111">
        <f>'C3C'!C229</f>
        <v>583906466.62000012</v>
      </c>
      <c r="D29" s="43">
        <f>'C3C'!D229</f>
        <v>628671881</v>
      </c>
      <c r="E29" s="41">
        <f>'C3C'!E229</f>
        <v>619171393</v>
      </c>
      <c r="F29" s="41">
        <f>'C3C'!F229</f>
        <v>58941846.56000001</v>
      </c>
      <c r="G29" s="41">
        <f>'C3C'!G229</f>
        <v>542490873.45000005</v>
      </c>
      <c r="H29" s="41">
        <f>'C3C'!H229</f>
        <v>619171393</v>
      </c>
      <c r="I29" s="41">
        <f t="shared" si="3"/>
        <v>-76680519.549999952</v>
      </c>
      <c r="J29" s="499">
        <f t="shared" si="4"/>
        <v>-0.1238437699430341</v>
      </c>
      <c r="K29" s="119">
        <f>'C3C'!K229</f>
        <v>619171393</v>
      </c>
      <c r="L29" s="76"/>
      <c r="M29" s="76"/>
      <c r="N29" s="76"/>
      <c r="O29" s="76"/>
      <c r="P29" s="76"/>
      <c r="Q29" s="76"/>
      <c r="R29" s="76"/>
      <c r="S29" s="76"/>
      <c r="T29" s="76"/>
      <c r="U29" s="76"/>
      <c r="V29" s="76"/>
      <c r="W29" s="76"/>
    </row>
    <row r="30" spans="1:23" ht="11.25" customHeight="1" x14ac:dyDescent="0.25">
      <c r="A30" s="36" t="str">
        <f>'Org structure'!A8</f>
        <v>Vote 7 - [NAME OF VOTE 7]</v>
      </c>
      <c r="B30" s="142"/>
      <c r="C30" s="111">
        <f>'C3C'!C240</f>
        <v>0</v>
      </c>
      <c r="D30" s="43">
        <f>'C3C'!D240</f>
        <v>0</v>
      </c>
      <c r="E30" s="41">
        <f>'C3C'!E240</f>
        <v>0</v>
      </c>
      <c r="F30" s="41">
        <f>'C3C'!F240</f>
        <v>0</v>
      </c>
      <c r="G30" s="41">
        <f>'C3C'!G240</f>
        <v>0</v>
      </c>
      <c r="H30" s="41">
        <f>'C3C'!H240</f>
        <v>0</v>
      </c>
      <c r="I30" s="41">
        <f t="shared" si="3"/>
        <v>0</v>
      </c>
      <c r="J30" s="499" t="str">
        <f t="shared" ref="J30:J38" si="5">IF(I30=0,"",I30/H30)</f>
        <v/>
      </c>
      <c r="K30" s="119">
        <f>'C3C'!K240</f>
        <v>0</v>
      </c>
      <c r="L30" s="76"/>
      <c r="M30" s="76"/>
      <c r="N30" s="76"/>
      <c r="O30" s="76"/>
      <c r="P30" s="76"/>
      <c r="Q30" s="76"/>
      <c r="R30" s="76"/>
      <c r="S30" s="76"/>
      <c r="T30" s="76"/>
      <c r="U30" s="76"/>
      <c r="V30" s="76"/>
      <c r="W30" s="76"/>
    </row>
    <row r="31" spans="1:23" ht="11.25" customHeight="1" x14ac:dyDescent="0.25">
      <c r="A31" s="36" t="str">
        <f>'Org structure'!A9</f>
        <v>Vote 8 - [NAME OF VOTE 8]</v>
      </c>
      <c r="B31" s="142"/>
      <c r="C31" s="111">
        <f>'C3C'!C251</f>
        <v>0</v>
      </c>
      <c r="D31" s="43">
        <f>'C3C'!D251</f>
        <v>0</v>
      </c>
      <c r="E31" s="41">
        <f>'C3C'!E251</f>
        <v>0</v>
      </c>
      <c r="F31" s="41">
        <f>'C3C'!F251</f>
        <v>0</v>
      </c>
      <c r="G31" s="41">
        <f>'C3C'!G251</f>
        <v>0</v>
      </c>
      <c r="H31" s="41">
        <f>'C3C'!H251</f>
        <v>0</v>
      </c>
      <c r="I31" s="41">
        <f t="shared" si="3"/>
        <v>0</v>
      </c>
      <c r="J31" s="499" t="str">
        <f t="shared" si="5"/>
        <v/>
      </c>
      <c r="K31" s="119">
        <f>'C3C'!K251</f>
        <v>0</v>
      </c>
      <c r="L31" s="76"/>
      <c r="M31" s="76"/>
      <c r="N31" s="76"/>
      <c r="O31" s="76"/>
      <c r="P31" s="76"/>
      <c r="Q31" s="76"/>
      <c r="R31" s="76"/>
      <c r="S31" s="76"/>
      <c r="T31" s="76"/>
      <c r="U31" s="76"/>
      <c r="V31" s="76"/>
      <c r="W31" s="76"/>
    </row>
    <row r="32" spans="1:23" ht="11.25" customHeight="1" x14ac:dyDescent="0.25">
      <c r="A32" s="36" t="str">
        <f>'Org structure'!A10</f>
        <v>Vote 9 - [NAME OF VOTE 9]</v>
      </c>
      <c r="B32" s="142"/>
      <c r="C32" s="111">
        <f>'C3C'!C262</f>
        <v>0</v>
      </c>
      <c r="D32" s="43">
        <f>'C3C'!D262</f>
        <v>0</v>
      </c>
      <c r="E32" s="41">
        <f>'C3C'!E262</f>
        <v>0</v>
      </c>
      <c r="F32" s="41">
        <f>'C3C'!F262</f>
        <v>0</v>
      </c>
      <c r="G32" s="41">
        <f>'C3C'!G262</f>
        <v>0</v>
      </c>
      <c r="H32" s="41">
        <f>'C3C'!H262</f>
        <v>0</v>
      </c>
      <c r="I32" s="41">
        <f t="shared" si="3"/>
        <v>0</v>
      </c>
      <c r="J32" s="499" t="str">
        <f t="shared" si="5"/>
        <v/>
      </c>
      <c r="K32" s="119">
        <f>'C3C'!K262</f>
        <v>0</v>
      </c>
      <c r="L32" s="76"/>
      <c r="M32" s="76"/>
      <c r="N32" s="76"/>
      <c r="O32" s="76"/>
      <c r="P32" s="76"/>
      <c r="Q32" s="76"/>
      <c r="R32" s="76"/>
      <c r="S32" s="76"/>
      <c r="T32" s="76"/>
      <c r="U32" s="76"/>
      <c r="V32" s="76"/>
      <c r="W32" s="76"/>
    </row>
    <row r="33" spans="1:23" ht="11.25" customHeight="1" x14ac:dyDescent="0.25">
      <c r="A33" s="36" t="str">
        <f>'Org structure'!A11</f>
        <v>Vote 10 - [NAME OF VOTE 10]</v>
      </c>
      <c r="B33" s="142"/>
      <c r="C33" s="111">
        <f>'C3C'!C273</f>
        <v>0</v>
      </c>
      <c r="D33" s="43">
        <f>'C3C'!D273</f>
        <v>0</v>
      </c>
      <c r="E33" s="41">
        <f>'C3C'!E273</f>
        <v>0</v>
      </c>
      <c r="F33" s="41">
        <f>'C3C'!F273</f>
        <v>0</v>
      </c>
      <c r="G33" s="41">
        <f>'C3C'!G273</f>
        <v>0</v>
      </c>
      <c r="H33" s="41">
        <f>'C3C'!H273</f>
        <v>0</v>
      </c>
      <c r="I33" s="41">
        <f t="shared" si="3"/>
        <v>0</v>
      </c>
      <c r="J33" s="499" t="str">
        <f>IF(I33=0,"",I33/H33)</f>
        <v/>
      </c>
      <c r="K33" s="119">
        <f>'C3C'!K273</f>
        <v>0</v>
      </c>
      <c r="L33" s="76"/>
      <c r="M33" s="76"/>
      <c r="N33" s="76"/>
      <c r="O33" s="76"/>
      <c r="P33" s="76"/>
      <c r="Q33" s="76"/>
      <c r="R33" s="76"/>
      <c r="S33" s="76"/>
      <c r="T33" s="76"/>
      <c r="U33" s="76"/>
      <c r="V33" s="76"/>
      <c r="W33" s="76"/>
    </row>
    <row r="34" spans="1:23" ht="11.25" customHeight="1" x14ac:dyDescent="0.25">
      <c r="A34" s="36" t="str">
        <f>'Org structure'!A12</f>
        <v>Vote 11 - [NAME OF VOTE 11]</v>
      </c>
      <c r="B34" s="142"/>
      <c r="C34" s="111">
        <f>'C3C'!C284</f>
        <v>0</v>
      </c>
      <c r="D34" s="43">
        <f>'C3C'!D284</f>
        <v>0</v>
      </c>
      <c r="E34" s="41">
        <f>'C3C'!E284</f>
        <v>0</v>
      </c>
      <c r="F34" s="41">
        <f>'C3C'!F284</f>
        <v>0</v>
      </c>
      <c r="G34" s="41">
        <f>'C3C'!G284</f>
        <v>0</v>
      </c>
      <c r="H34" s="41">
        <f>'C3C'!H284</f>
        <v>0</v>
      </c>
      <c r="I34" s="41">
        <f t="shared" si="3"/>
        <v>0</v>
      </c>
      <c r="J34" s="499" t="str">
        <f>IF(I34=0,"",I34/H34)</f>
        <v/>
      </c>
      <c r="K34" s="119">
        <f>'C3C'!K284</f>
        <v>0</v>
      </c>
      <c r="M34" s="76"/>
      <c r="N34" s="76"/>
      <c r="O34" s="76"/>
      <c r="P34" s="76"/>
      <c r="Q34" s="76"/>
      <c r="R34" s="76"/>
      <c r="S34" s="76"/>
      <c r="T34" s="76"/>
      <c r="U34" s="76"/>
      <c r="V34" s="76"/>
      <c r="W34" s="76"/>
    </row>
    <row r="35" spans="1:23" ht="11.25" customHeight="1" x14ac:dyDescent="0.25">
      <c r="A35" s="36" t="str">
        <f>'Org structure'!A13</f>
        <v>Vote 12 - [NAME OF VOTE 12]</v>
      </c>
      <c r="B35" s="142"/>
      <c r="C35" s="111">
        <f>'C3C'!C295</f>
        <v>0</v>
      </c>
      <c r="D35" s="43">
        <f>'C3C'!D295</f>
        <v>0</v>
      </c>
      <c r="E35" s="41">
        <f>'C3C'!E295</f>
        <v>0</v>
      </c>
      <c r="F35" s="41">
        <f>'C3C'!F295</f>
        <v>0</v>
      </c>
      <c r="G35" s="41">
        <f>'C3C'!G295</f>
        <v>0</v>
      </c>
      <c r="H35" s="41">
        <f>'C3C'!H295</f>
        <v>0</v>
      </c>
      <c r="I35" s="41">
        <f t="shared" si="3"/>
        <v>0</v>
      </c>
      <c r="J35" s="499" t="str">
        <f>IF(I35=0,"",I35/H35)</f>
        <v/>
      </c>
      <c r="K35" s="119">
        <f>'C3C'!K295</f>
        <v>0</v>
      </c>
      <c r="M35" s="76"/>
      <c r="N35" s="76"/>
      <c r="O35" s="76"/>
      <c r="P35" s="76"/>
      <c r="Q35" s="76"/>
      <c r="R35" s="76"/>
      <c r="S35" s="76"/>
      <c r="T35" s="76"/>
      <c r="U35" s="76"/>
      <c r="V35" s="76"/>
      <c r="W35" s="76"/>
    </row>
    <row r="36" spans="1:23" ht="11.25" customHeight="1" x14ac:dyDescent="0.25">
      <c r="A36" s="36" t="str">
        <f>'Org structure'!A14</f>
        <v>Vote 13 - [NAME OF VOTE 13]</v>
      </c>
      <c r="B36" s="142"/>
      <c r="C36" s="111">
        <f>'C3C'!C306</f>
        <v>0</v>
      </c>
      <c r="D36" s="43">
        <f>'C3C'!D306</f>
        <v>0</v>
      </c>
      <c r="E36" s="41">
        <f>'C3C'!E306</f>
        <v>0</v>
      </c>
      <c r="F36" s="41">
        <f>'C3C'!F306</f>
        <v>0</v>
      </c>
      <c r="G36" s="41">
        <f>'C3C'!G306</f>
        <v>0</v>
      </c>
      <c r="H36" s="41">
        <f>'C3C'!H306</f>
        <v>0</v>
      </c>
      <c r="I36" s="41">
        <f t="shared" si="3"/>
        <v>0</v>
      </c>
      <c r="J36" s="499" t="str">
        <f>IF(I36=0,"",I36/H36)</f>
        <v/>
      </c>
      <c r="K36" s="119">
        <f>'C3C'!K306</f>
        <v>0</v>
      </c>
      <c r="M36" s="76"/>
      <c r="N36" s="76"/>
      <c r="O36" s="76"/>
      <c r="P36" s="76"/>
      <c r="Q36" s="76"/>
      <c r="R36" s="76"/>
      <c r="S36" s="76"/>
      <c r="T36" s="76"/>
      <c r="U36" s="76"/>
      <c r="V36" s="76"/>
      <c r="W36" s="76"/>
    </row>
    <row r="37" spans="1:23" ht="11.25" customHeight="1" x14ac:dyDescent="0.25">
      <c r="A37" s="36" t="str">
        <f>'Org structure'!A15</f>
        <v>Vote 14 - [NAME OF VOTE 14]</v>
      </c>
      <c r="B37" s="142"/>
      <c r="C37" s="111">
        <f>'C3C'!C317</f>
        <v>0</v>
      </c>
      <c r="D37" s="43">
        <f>'C3C'!D317</f>
        <v>0</v>
      </c>
      <c r="E37" s="41">
        <f>'C3C'!E317</f>
        <v>0</v>
      </c>
      <c r="F37" s="41">
        <f>'C3C'!F317</f>
        <v>0</v>
      </c>
      <c r="G37" s="41">
        <f>'C3C'!G317</f>
        <v>0</v>
      </c>
      <c r="H37" s="41">
        <f>'C3C'!H317</f>
        <v>0</v>
      </c>
      <c r="I37" s="41">
        <f t="shared" si="3"/>
        <v>0</v>
      </c>
      <c r="J37" s="499" t="str">
        <f>IF(I37=0,"",I37/H37)</f>
        <v/>
      </c>
      <c r="K37" s="119">
        <f>'C3C'!K317</f>
        <v>0</v>
      </c>
      <c r="M37" s="76"/>
      <c r="N37" s="76"/>
      <c r="O37" s="76"/>
      <c r="P37" s="76"/>
      <c r="Q37" s="76"/>
      <c r="R37" s="76"/>
      <c r="S37" s="76"/>
      <c r="T37" s="76"/>
      <c r="U37" s="76"/>
      <c r="V37" s="76"/>
      <c r="W37" s="76"/>
    </row>
    <row r="38" spans="1:23" ht="12.75" customHeight="1" x14ac:dyDescent="0.25">
      <c r="A38" s="36" t="str">
        <f>'Org structure'!A16</f>
        <v>Vote 15 - [NAME OF VOTE 15]</v>
      </c>
      <c r="B38" s="142"/>
      <c r="C38" s="111">
        <f>'C3C'!C328</f>
        <v>0</v>
      </c>
      <c r="D38" s="43">
        <f>'C3C'!D328</f>
        <v>0</v>
      </c>
      <c r="E38" s="41">
        <f>'C3C'!E328</f>
        <v>0</v>
      </c>
      <c r="F38" s="41">
        <f>'C3C'!F328</f>
        <v>0</v>
      </c>
      <c r="G38" s="41">
        <f>'C3C'!G328</f>
        <v>0</v>
      </c>
      <c r="H38" s="41">
        <f>'C3C'!H328</f>
        <v>0</v>
      </c>
      <c r="I38" s="41">
        <f t="shared" si="3"/>
        <v>0</v>
      </c>
      <c r="J38" s="499" t="str">
        <f t="shared" si="5"/>
        <v/>
      </c>
      <c r="K38" s="119">
        <f>'C3C'!K328</f>
        <v>0</v>
      </c>
      <c r="M38" s="76"/>
      <c r="N38" s="76"/>
      <c r="O38" s="76"/>
      <c r="P38" s="76"/>
      <c r="Q38" s="76"/>
      <c r="R38" s="76"/>
      <c r="S38" s="76"/>
      <c r="T38" s="76"/>
      <c r="U38" s="76"/>
      <c r="V38" s="76"/>
      <c r="W38" s="76"/>
    </row>
    <row r="39" spans="1:23" ht="12.75" customHeight="1" x14ac:dyDescent="0.25">
      <c r="A39" s="81" t="s">
        <v>645</v>
      </c>
      <c r="B39" s="196">
        <v>2</v>
      </c>
      <c r="C39" s="406">
        <f>SUM(C24:C38)</f>
        <v>957098343.44000018</v>
      </c>
      <c r="D39" s="380">
        <f t="shared" ref="D39:I39" si="6">SUM(D24:D38)</f>
        <v>1011347518</v>
      </c>
      <c r="E39" s="356">
        <f t="shared" si="6"/>
        <v>1008968148</v>
      </c>
      <c r="F39" s="356">
        <f t="shared" si="6"/>
        <v>79874395.870000005</v>
      </c>
      <c r="G39" s="356">
        <f t="shared" si="6"/>
        <v>896520297.21000004</v>
      </c>
      <c r="H39" s="356">
        <f t="shared" si="6"/>
        <v>1008968148</v>
      </c>
      <c r="I39" s="356">
        <f t="shared" si="6"/>
        <v>-112447850.78999999</v>
      </c>
      <c r="J39" s="502">
        <f>IF(I39=0,"",I39/H39)</f>
        <v>-0.11144836535513705</v>
      </c>
      <c r="K39" s="403">
        <f>SUM(K24:K38)</f>
        <v>1008968148</v>
      </c>
      <c r="L39" s="55"/>
      <c r="M39" s="55"/>
      <c r="N39" s="55"/>
      <c r="O39" s="55"/>
      <c r="P39" s="55"/>
      <c r="Q39" s="55"/>
      <c r="R39" s="55"/>
      <c r="S39" s="55"/>
      <c r="T39" s="55"/>
      <c r="U39" s="55"/>
      <c r="V39" s="55"/>
      <c r="W39" s="55"/>
    </row>
    <row r="40" spans="1:23" ht="12.75" customHeight="1" x14ac:dyDescent="0.25">
      <c r="A40" s="49" t="str">
        <f>result</f>
        <v>Surplus/ (Deficit) for the year</v>
      </c>
      <c r="B40" s="199">
        <v>2</v>
      </c>
      <c r="C40" s="198">
        <f t="shared" ref="C40:H40" si="7">C21-C39</f>
        <v>102424353.26999986</v>
      </c>
      <c r="D40" s="52">
        <f t="shared" si="7"/>
        <v>123871529</v>
      </c>
      <c r="E40" s="51">
        <f t="shared" si="7"/>
        <v>168468297</v>
      </c>
      <c r="F40" s="51">
        <f t="shared" si="7"/>
        <v>1301911.7699999958</v>
      </c>
      <c r="G40" s="51">
        <f t="shared" si="7"/>
        <v>66014432.279999971</v>
      </c>
      <c r="H40" s="51">
        <f t="shared" si="7"/>
        <v>168468297</v>
      </c>
      <c r="I40" s="51">
        <f>I21-I39</f>
        <v>-102453864.72000006</v>
      </c>
      <c r="J40" s="503">
        <f>IF(I40=0,"",I40/H40)</f>
        <v>-0.60814922774461277</v>
      </c>
      <c r="K40" s="198">
        <f>K21-K39</f>
        <v>168468297</v>
      </c>
      <c r="L40" s="55"/>
      <c r="M40" s="55"/>
      <c r="N40" s="55"/>
      <c r="O40" s="55"/>
      <c r="P40" s="55"/>
      <c r="Q40" s="55"/>
      <c r="R40" s="55"/>
      <c r="S40" s="55"/>
      <c r="T40" s="55"/>
      <c r="U40" s="55"/>
      <c r="V40" s="55"/>
      <c r="W40" s="55"/>
    </row>
    <row r="41" spans="1:23" ht="11.25" customHeight="1" x14ac:dyDescent="0.25">
      <c r="A41" s="680" t="str">
        <f>head27a</f>
        <v>References</v>
      </c>
      <c r="C41" s="55"/>
      <c r="D41" s="55"/>
      <c r="E41" s="55"/>
      <c r="F41" s="55"/>
      <c r="G41" s="55"/>
      <c r="H41" s="55"/>
      <c r="I41" s="55"/>
      <c r="J41" s="55"/>
      <c r="K41" s="381"/>
    </row>
    <row r="42" spans="1:23" ht="11.25" customHeight="1" x14ac:dyDescent="0.25">
      <c r="A42" s="684" t="s">
        <v>727</v>
      </c>
      <c r="C42" s="55"/>
      <c r="D42" s="55"/>
      <c r="E42" s="55"/>
      <c r="F42" s="55"/>
      <c r="G42" s="55"/>
      <c r="H42" s="55"/>
      <c r="I42" s="55"/>
      <c r="J42" s="55"/>
      <c r="K42" s="381"/>
    </row>
    <row r="43" spans="1:23" ht="11.25" customHeight="1" x14ac:dyDescent="0.25">
      <c r="A43" s="694" t="s">
        <v>143</v>
      </c>
      <c r="C43" s="55"/>
      <c r="D43" s="55"/>
      <c r="E43" s="55"/>
      <c r="F43" s="55"/>
      <c r="G43" s="55"/>
      <c r="H43" s="55"/>
      <c r="I43" s="55"/>
      <c r="J43" s="55"/>
      <c r="K43" s="381"/>
    </row>
    <row r="44" spans="1:23" ht="11.25" customHeight="1" x14ac:dyDescent="0.25">
      <c r="A44" s="694"/>
      <c r="B44" s="58"/>
      <c r="C44" s="60"/>
      <c r="D44" s="60"/>
      <c r="E44" s="60"/>
      <c r="F44" s="60"/>
      <c r="G44" s="60"/>
      <c r="H44" s="60"/>
      <c r="I44" s="60"/>
      <c r="J44" s="60"/>
      <c r="K44" s="695"/>
    </row>
    <row r="45" spans="1:23" ht="11.25" customHeight="1" x14ac:dyDescent="0.25">
      <c r="A45" s="73" t="s">
        <v>182</v>
      </c>
      <c r="B45" s="58"/>
      <c r="C45" s="467">
        <f>C21-'C4-FinPerf RE'!C53</f>
        <v>0</v>
      </c>
      <c r="D45" s="467">
        <f>D21-'C4-FinPerf RE'!D53</f>
        <v>0</v>
      </c>
      <c r="E45" s="467">
        <f>E21-'C4-FinPerf RE'!E53</f>
        <v>0</v>
      </c>
      <c r="F45" s="467">
        <f>F21-'C4-FinPerf RE'!F53</f>
        <v>0</v>
      </c>
      <c r="G45" s="467">
        <f>G21-'C4-FinPerf RE'!G53</f>
        <v>0</v>
      </c>
      <c r="H45" s="467">
        <f>H21-'C4-FinPerf RE'!H53</f>
        <v>0</v>
      </c>
      <c r="I45" s="467">
        <f>I21-'C4-FinPerf RE'!I53</f>
        <v>0</v>
      </c>
      <c r="J45" s="467"/>
      <c r="K45" s="689">
        <f>K21-'C4-FinPerf RE'!K53</f>
        <v>0</v>
      </c>
    </row>
    <row r="46" spans="1:23" ht="11.25" customHeight="1" x14ac:dyDescent="0.25">
      <c r="A46" s="73" t="s">
        <v>183</v>
      </c>
      <c r="B46" s="58"/>
      <c r="C46" s="467">
        <f>C39-'C4-FinPerf RE'!C36</f>
        <v>0</v>
      </c>
      <c r="D46" s="467">
        <f>D39-'C4-FinPerf RE'!D36</f>
        <v>0</v>
      </c>
      <c r="E46" s="467">
        <f>E39-'C4-FinPerf RE'!E36</f>
        <v>0</v>
      </c>
      <c r="F46" s="467">
        <f>F39-'C4-FinPerf RE'!F36</f>
        <v>0</v>
      </c>
      <c r="G46" s="467">
        <f>G39-'C4-FinPerf RE'!G36</f>
        <v>0</v>
      </c>
      <c r="H46" s="467">
        <f>H39-'C4-FinPerf RE'!H36</f>
        <v>0</v>
      </c>
      <c r="I46" s="467">
        <f>I39-'C4-FinPerf RE'!I36</f>
        <v>0</v>
      </c>
      <c r="J46" s="467"/>
      <c r="K46" s="689">
        <f>K39-'C4-FinPerf RE'!K36</f>
        <v>0</v>
      </c>
    </row>
    <row r="47" spans="1:23" ht="11.25" customHeight="1" x14ac:dyDescent="0.25">
      <c r="A47" s="678"/>
      <c r="B47" s="679"/>
      <c r="C47" s="696"/>
      <c r="D47" s="696"/>
      <c r="E47" s="696"/>
      <c r="F47" s="696"/>
      <c r="G47" s="696"/>
      <c r="H47" s="696"/>
      <c r="I47" s="696"/>
      <c r="J47" s="696"/>
      <c r="K47" s="697"/>
    </row>
  </sheetData>
  <sheetProtection password="C646" sheet="1" objects="1" scenarios="1"/>
  <mergeCells count="3">
    <mergeCell ref="A1:K1"/>
    <mergeCell ref="B2:B4"/>
    <mergeCell ref="D2:K2"/>
  </mergeCells>
  <phoneticPr fontId="3" type="noConversion"/>
  <printOptions horizontalCentered="1"/>
  <pageMargins left="0.19685039370078741" right="0.19685039370078741" top="0.59055118110236215" bottom="0.59055118110236215" header="0.51181102362204722" footer="0.51181102362204722"/>
  <pageSetup paperSize="9" scale="91" orientation="portrait" r:id="rId1"/>
  <headerFooter alignWithMargins="0"/>
  <ignoredErrors>
    <ignoredError sqref="A6:A20" unlockedFormula="1"/>
    <ignoredError sqref="J21 J39:J4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indexed="44"/>
    <pageSetUpPr fitToPage="1"/>
  </sheetPr>
  <dimension ref="A1:L348"/>
  <sheetViews>
    <sheetView showGridLines="0" showZeros="0" view="pageBreakPreview" zoomScaleNormal="100" zoomScaleSheetLayoutView="100" workbookViewId="0">
      <pane xSplit="2" ySplit="4" topLeftCell="C222" activePane="bottomRight" state="frozen"/>
      <selection pane="topRight"/>
      <selection pane="bottomLeft"/>
      <selection pane="bottomRight" activeCell="G346" sqref="G346"/>
    </sheetView>
  </sheetViews>
  <sheetFormatPr defaultColWidth="9.140625" defaultRowHeight="12.75" x14ac:dyDescent="0.25"/>
  <cols>
    <col min="1" max="1" width="30.7109375" style="22" customWidth="1"/>
    <col min="2" max="2" width="3" style="386" customWidth="1"/>
    <col min="3" max="9" width="9.28515625" style="150" customWidth="1"/>
    <col min="10" max="10" width="9.28515625" style="493" customWidth="1"/>
    <col min="11" max="11" width="9.28515625" style="150" customWidth="1"/>
    <col min="12" max="12" width="2.140625" style="22" hidden="1" customWidth="1"/>
    <col min="13" max="16384" width="9.140625" style="22"/>
  </cols>
  <sheetData>
    <row r="1" spans="1:12" s="359" customFormat="1" ht="13.5" x14ac:dyDescent="0.25">
      <c r="A1" s="618" t="str">
        <f>muni&amp; " - "&amp;S71C&amp; " - "&amp;"A"&amp; " - "&amp;date</f>
        <v>WC025 Breede Valley - Table C3 Monthly Budget Statement - Financial Performance (revenue and expenditure by municipal vote) - A - Q4 Fourth Quarter</v>
      </c>
      <c r="B1" s="698"/>
      <c r="C1" s="698"/>
      <c r="D1" s="698"/>
      <c r="E1" s="698"/>
      <c r="F1" s="698"/>
      <c r="G1" s="698"/>
      <c r="H1" s="698"/>
      <c r="I1" s="698"/>
      <c r="J1" s="770"/>
      <c r="K1" s="699"/>
      <c r="L1" s="22">
        <v>12</v>
      </c>
    </row>
    <row r="2" spans="1:12" ht="28.5" customHeight="1" x14ac:dyDescent="0.25">
      <c r="A2" s="360" t="str">
        <f>Vdesc</f>
        <v>Vote Description</v>
      </c>
      <c r="B2" s="767" t="str">
        <f>head27</f>
        <v>Ref</v>
      </c>
      <c r="C2" s="117" t="str">
        <f>Head1</f>
        <v>2017/18</v>
      </c>
      <c r="D2" s="975" t="str">
        <f>Head2</f>
        <v>Budget Year 2018/19</v>
      </c>
      <c r="E2" s="976"/>
      <c r="F2" s="976"/>
      <c r="G2" s="976"/>
      <c r="H2" s="976"/>
      <c r="I2" s="976"/>
      <c r="J2" s="976"/>
      <c r="K2" s="977"/>
    </row>
    <row r="3" spans="1:12" ht="25.5" x14ac:dyDescent="0.25">
      <c r="A3" s="188" t="s">
        <v>123</v>
      </c>
      <c r="B3" s="768"/>
      <c r="C3" s="155" t="str">
        <f>Head5</f>
        <v>Audited Outcome</v>
      </c>
      <c r="D3" s="124" t="str">
        <f>Head6</f>
        <v>Original Budget</v>
      </c>
      <c r="E3" s="24" t="str">
        <f>Head7</f>
        <v>Adjusted Budget</v>
      </c>
      <c r="F3" s="24" t="str">
        <f>Head38</f>
        <v>Monthly actual</v>
      </c>
      <c r="G3" s="24" t="str">
        <f>Head39</f>
        <v>YearTD actual</v>
      </c>
      <c r="H3" s="24" t="str">
        <f>Head40</f>
        <v>YearTD budget</v>
      </c>
      <c r="I3" s="24" t="str">
        <f>Head41</f>
        <v>YTD variance</v>
      </c>
      <c r="J3" s="191" t="str">
        <f>Head41</f>
        <v>YTD variance</v>
      </c>
      <c r="K3" s="155" t="str">
        <f>Head8</f>
        <v>Full Year Forecast</v>
      </c>
    </row>
    <row r="4" spans="1:12" ht="11.25" customHeight="1" x14ac:dyDescent="0.25">
      <c r="A4" s="31"/>
      <c r="B4" s="769"/>
      <c r="C4" s="187"/>
      <c r="D4" s="714"/>
      <c r="E4" s="353"/>
      <c r="F4" s="74"/>
      <c r="G4" s="74"/>
      <c r="H4" s="74"/>
      <c r="I4" s="74"/>
      <c r="J4" s="205" t="s">
        <v>586</v>
      </c>
      <c r="K4" s="187"/>
    </row>
    <row r="5" spans="1:12" ht="11.25" customHeight="1" x14ac:dyDescent="0.25">
      <c r="A5" s="32" t="s">
        <v>762</v>
      </c>
      <c r="B5" s="346">
        <v>1</v>
      </c>
      <c r="C5" s="715"/>
      <c r="D5" s="716"/>
      <c r="E5" s="717"/>
      <c r="F5" s="718"/>
      <c r="G5" s="719"/>
      <c r="H5" s="718"/>
      <c r="I5" s="719"/>
      <c r="J5" s="771"/>
      <c r="K5" s="720"/>
    </row>
    <row r="6" spans="1:12" s="57" customFormat="1" ht="11.25" customHeight="1" x14ac:dyDescent="0.25">
      <c r="A6" s="88" t="str">
        <f>'Org structure'!A2</f>
        <v>Vote 1 - Council General</v>
      </c>
      <c r="B6" s="363"/>
      <c r="C6" s="721">
        <f>SUM(C7:C16)</f>
        <v>3289640.6900000004</v>
      </c>
      <c r="D6" s="722">
        <f t="shared" ref="D6:K6" si="0">SUM(D7:D16)</f>
        <v>138800</v>
      </c>
      <c r="E6" s="723">
        <f t="shared" si="0"/>
        <v>74300</v>
      </c>
      <c r="F6" s="724">
        <f t="shared" si="0"/>
        <v>42027.08</v>
      </c>
      <c r="G6" s="723">
        <f t="shared" si="0"/>
        <v>427098.49</v>
      </c>
      <c r="H6" s="724">
        <f t="shared" si="0"/>
        <v>74300</v>
      </c>
      <c r="I6" s="723">
        <f t="shared" ref="I6:I17" si="1">G6-H6</f>
        <v>352798.49</v>
      </c>
      <c r="J6" s="772">
        <f t="shared" ref="J6:J17" si="2">IF(I6=0,"",I6/H6)</f>
        <v>4.7482973082099598</v>
      </c>
      <c r="K6" s="725">
        <f t="shared" si="0"/>
        <v>74300</v>
      </c>
    </row>
    <row r="7" spans="1:12" ht="11.25" customHeight="1" x14ac:dyDescent="0.25">
      <c r="A7" s="36" t="str">
        <f>'Org structure'!E3</f>
        <v>1.1 - Admin</v>
      </c>
      <c r="B7" s="368"/>
      <c r="C7" s="726">
        <v>3289640.6900000004</v>
      </c>
      <c r="D7" s="727">
        <v>138800</v>
      </c>
      <c r="E7" s="728">
        <v>74300</v>
      </c>
      <c r="F7" s="914">
        <v>42027.08</v>
      </c>
      <c r="G7" s="913">
        <v>427098.49</v>
      </c>
      <c r="H7" s="729">
        <f>E7/12*$L$1</f>
        <v>74300</v>
      </c>
      <c r="I7" s="730">
        <f t="shared" si="1"/>
        <v>352798.49</v>
      </c>
      <c r="J7" s="773">
        <f t="shared" si="2"/>
        <v>4.7482973082099598</v>
      </c>
      <c r="K7" s="731">
        <f>E7</f>
        <v>74300</v>
      </c>
    </row>
    <row r="8" spans="1:12" ht="11.25" customHeight="1" x14ac:dyDescent="0.25">
      <c r="A8" s="36" t="str">
        <f>'Org structure'!E4</f>
        <v>1.2 - Mayoral Office</v>
      </c>
      <c r="B8" s="368"/>
      <c r="C8" s="726">
        <v>0</v>
      </c>
      <c r="D8" s="727">
        <v>0</v>
      </c>
      <c r="E8" s="728">
        <v>0</v>
      </c>
      <c r="F8" s="914">
        <v>0</v>
      </c>
      <c r="G8" s="913">
        <v>0</v>
      </c>
      <c r="H8" s="729">
        <f>E8/12*$L$1</f>
        <v>0</v>
      </c>
      <c r="I8" s="730">
        <f t="shared" si="1"/>
        <v>0</v>
      </c>
      <c r="J8" s="773" t="str">
        <f t="shared" si="2"/>
        <v/>
      </c>
      <c r="K8" s="731">
        <f>E8</f>
        <v>0</v>
      </c>
    </row>
    <row r="9" spans="1:12" ht="11.25" customHeight="1" x14ac:dyDescent="0.25">
      <c r="A9" s="36">
        <f>'Org structure'!E5</f>
        <v>0</v>
      </c>
      <c r="B9" s="368"/>
      <c r="C9" s="726"/>
      <c r="D9" s="727"/>
      <c r="E9" s="728"/>
      <c r="F9" s="729"/>
      <c r="G9" s="728"/>
      <c r="H9" s="729"/>
      <c r="I9" s="730">
        <f t="shared" si="1"/>
        <v>0</v>
      </c>
      <c r="J9" s="773" t="str">
        <f t="shared" si="2"/>
        <v/>
      </c>
      <c r="K9" s="731"/>
    </row>
    <row r="10" spans="1:12" ht="11.25" customHeight="1" x14ac:dyDescent="0.25">
      <c r="A10" s="36">
        <f>'Org structure'!E6</f>
        <v>0</v>
      </c>
      <c r="B10" s="368"/>
      <c r="C10" s="726"/>
      <c r="D10" s="727"/>
      <c r="E10" s="728"/>
      <c r="F10" s="729"/>
      <c r="G10" s="728"/>
      <c r="H10" s="729"/>
      <c r="I10" s="730">
        <f t="shared" si="1"/>
        <v>0</v>
      </c>
      <c r="J10" s="773" t="str">
        <f t="shared" si="2"/>
        <v/>
      </c>
      <c r="K10" s="731"/>
    </row>
    <row r="11" spans="1:12" ht="11.25" customHeight="1" x14ac:dyDescent="0.25">
      <c r="A11" s="36">
        <f>'Org structure'!E7</f>
        <v>0</v>
      </c>
      <c r="B11" s="368"/>
      <c r="C11" s="726"/>
      <c r="D11" s="727"/>
      <c r="E11" s="728"/>
      <c r="F11" s="729"/>
      <c r="G11" s="728"/>
      <c r="H11" s="729"/>
      <c r="I11" s="730">
        <f t="shared" si="1"/>
        <v>0</v>
      </c>
      <c r="J11" s="773" t="str">
        <f t="shared" si="2"/>
        <v/>
      </c>
      <c r="K11" s="731"/>
    </row>
    <row r="12" spans="1:12" ht="11.25" customHeight="1" x14ac:dyDescent="0.25">
      <c r="A12" s="36">
        <f>'Org structure'!E8</f>
        <v>0</v>
      </c>
      <c r="B12" s="368"/>
      <c r="C12" s="726"/>
      <c r="D12" s="727"/>
      <c r="E12" s="728"/>
      <c r="F12" s="729"/>
      <c r="G12" s="728"/>
      <c r="H12" s="729"/>
      <c r="I12" s="730">
        <f t="shared" si="1"/>
        <v>0</v>
      </c>
      <c r="J12" s="773" t="str">
        <f t="shared" si="2"/>
        <v/>
      </c>
      <c r="K12" s="731"/>
    </row>
    <row r="13" spans="1:12" ht="11.25" customHeight="1" x14ac:dyDescent="0.25">
      <c r="A13" s="36">
        <f>'Org structure'!E9</f>
        <v>0</v>
      </c>
      <c r="B13" s="368"/>
      <c r="C13" s="726"/>
      <c r="D13" s="727"/>
      <c r="E13" s="728"/>
      <c r="F13" s="729"/>
      <c r="G13" s="728"/>
      <c r="H13" s="729"/>
      <c r="I13" s="730">
        <f t="shared" si="1"/>
        <v>0</v>
      </c>
      <c r="J13" s="773" t="str">
        <f t="shared" si="2"/>
        <v/>
      </c>
      <c r="K13" s="731"/>
    </row>
    <row r="14" spans="1:12" ht="11.25" customHeight="1" x14ac:dyDescent="0.25">
      <c r="A14" s="36">
        <f>'Org structure'!E10</f>
        <v>0</v>
      </c>
      <c r="B14" s="368"/>
      <c r="C14" s="726"/>
      <c r="D14" s="727"/>
      <c r="E14" s="728"/>
      <c r="F14" s="729"/>
      <c r="G14" s="728"/>
      <c r="H14" s="729"/>
      <c r="I14" s="730">
        <f t="shared" si="1"/>
        <v>0</v>
      </c>
      <c r="J14" s="773" t="str">
        <f t="shared" si="2"/>
        <v/>
      </c>
      <c r="K14" s="731"/>
    </row>
    <row r="15" spans="1:12" ht="11.25" customHeight="1" x14ac:dyDescent="0.25">
      <c r="A15" s="36">
        <f>'Org structure'!E11</f>
        <v>0</v>
      </c>
      <c r="B15" s="368"/>
      <c r="C15" s="726"/>
      <c r="D15" s="727"/>
      <c r="E15" s="728"/>
      <c r="F15" s="729"/>
      <c r="G15" s="728"/>
      <c r="H15" s="729"/>
      <c r="I15" s="730">
        <f t="shared" si="1"/>
        <v>0</v>
      </c>
      <c r="J15" s="773" t="str">
        <f t="shared" si="2"/>
        <v/>
      </c>
      <c r="K15" s="731"/>
    </row>
    <row r="16" spans="1:12" ht="11.25" customHeight="1" x14ac:dyDescent="0.25">
      <c r="A16" s="36">
        <f>'Org structure'!E12</f>
        <v>0</v>
      </c>
      <c r="B16" s="368"/>
      <c r="C16" s="726"/>
      <c r="D16" s="727"/>
      <c r="E16" s="728"/>
      <c r="F16" s="729"/>
      <c r="G16" s="728"/>
      <c r="H16" s="729"/>
      <c r="I16" s="730">
        <f t="shared" si="1"/>
        <v>0</v>
      </c>
      <c r="J16" s="773" t="str">
        <f t="shared" si="2"/>
        <v/>
      </c>
      <c r="K16" s="731"/>
    </row>
    <row r="17" spans="1:11" s="57" customFormat="1" ht="11.25" customHeight="1" x14ac:dyDescent="0.25">
      <c r="A17" s="88" t="str">
        <f>'Org structure'!A3</f>
        <v>Vote 2 - Municipal Manager</v>
      </c>
      <c r="B17" s="363"/>
      <c r="C17" s="721">
        <f>SUM(C18:C27)</f>
        <v>8607815.3399999999</v>
      </c>
      <c r="D17" s="722">
        <f t="shared" ref="D17:K17" si="3">SUM(D18:D27)</f>
        <v>3200000</v>
      </c>
      <c r="E17" s="723">
        <f t="shared" si="3"/>
        <v>7315172</v>
      </c>
      <c r="F17" s="724">
        <f t="shared" si="3"/>
        <v>0</v>
      </c>
      <c r="G17" s="723">
        <f t="shared" si="3"/>
        <v>0</v>
      </c>
      <c r="H17" s="724">
        <f t="shared" si="3"/>
        <v>7315172</v>
      </c>
      <c r="I17" s="723">
        <f t="shared" si="1"/>
        <v>-7315172</v>
      </c>
      <c r="J17" s="772">
        <f t="shared" si="2"/>
        <v>-1</v>
      </c>
      <c r="K17" s="725">
        <f t="shared" si="3"/>
        <v>7315172</v>
      </c>
    </row>
    <row r="18" spans="1:11" ht="11.25" customHeight="1" x14ac:dyDescent="0.25">
      <c r="A18" s="36" t="str">
        <f>'Org structure'!E14</f>
        <v>2.1 - Office Support</v>
      </c>
      <c r="B18" s="368"/>
      <c r="C18" s="726">
        <v>850000</v>
      </c>
      <c r="D18" s="727">
        <v>0</v>
      </c>
      <c r="E18" s="728">
        <v>2572600</v>
      </c>
      <c r="F18" s="916">
        <v>0</v>
      </c>
      <c r="G18" s="915">
        <v>0</v>
      </c>
      <c r="H18" s="729">
        <f t="shared" ref="H18:H23" si="4">E18/12*$L$1</f>
        <v>2572600</v>
      </c>
      <c r="I18" s="730">
        <f t="shared" ref="I18:I23" si="5">G18-H18</f>
        <v>-2572600</v>
      </c>
      <c r="J18" s="773">
        <f t="shared" ref="J18:J23" si="6">IF(I18=0,"",I18/H18)</f>
        <v>-1</v>
      </c>
      <c r="K18" s="731">
        <f t="shared" ref="K18:K23" si="7">E18</f>
        <v>2572600</v>
      </c>
    </row>
    <row r="19" spans="1:11" ht="11.25" customHeight="1" x14ac:dyDescent="0.25">
      <c r="A19" s="36" t="str">
        <f>'Org structure'!E15</f>
        <v>2.2 - Internal Audit</v>
      </c>
      <c r="B19" s="368"/>
      <c r="C19" s="726">
        <v>174052.85</v>
      </c>
      <c r="D19" s="727">
        <v>0</v>
      </c>
      <c r="E19" s="728">
        <v>44154</v>
      </c>
      <c r="F19" s="916">
        <v>0</v>
      </c>
      <c r="G19" s="915">
        <v>0</v>
      </c>
      <c r="H19" s="729">
        <f t="shared" si="4"/>
        <v>44154</v>
      </c>
      <c r="I19" s="730">
        <f t="shared" si="5"/>
        <v>-44154</v>
      </c>
      <c r="J19" s="773">
        <f t="shared" si="6"/>
        <v>-1</v>
      </c>
      <c r="K19" s="731">
        <f t="shared" si="7"/>
        <v>44154</v>
      </c>
    </row>
    <row r="20" spans="1:11" ht="11.25" customHeight="1" x14ac:dyDescent="0.25">
      <c r="A20" s="36" t="str">
        <f>'Org structure'!E16</f>
        <v>2.3 - Project Management</v>
      </c>
      <c r="B20" s="368"/>
      <c r="C20" s="726">
        <v>7583981.5899999999</v>
      </c>
      <c r="D20" s="727">
        <v>3200000</v>
      </c>
      <c r="E20" s="728">
        <v>4698418</v>
      </c>
      <c r="F20" s="916">
        <v>0</v>
      </c>
      <c r="G20" s="915">
        <v>0</v>
      </c>
      <c r="H20" s="729">
        <f t="shared" si="4"/>
        <v>4698418</v>
      </c>
      <c r="I20" s="730">
        <f t="shared" si="5"/>
        <v>-4698418</v>
      </c>
      <c r="J20" s="773">
        <f t="shared" si="6"/>
        <v>-1</v>
      </c>
      <c r="K20" s="731">
        <f t="shared" si="7"/>
        <v>4698418</v>
      </c>
    </row>
    <row r="21" spans="1:11" ht="11.25" customHeight="1" x14ac:dyDescent="0.25">
      <c r="A21" s="36" t="str">
        <f>'Org structure'!E17</f>
        <v>2.4 - Ombudsman</v>
      </c>
      <c r="B21" s="368"/>
      <c r="C21" s="726">
        <v>0</v>
      </c>
      <c r="D21" s="727">
        <v>0</v>
      </c>
      <c r="E21" s="728">
        <v>0</v>
      </c>
      <c r="F21" s="916">
        <v>0</v>
      </c>
      <c r="G21" s="915">
        <v>0</v>
      </c>
      <c r="H21" s="729">
        <f t="shared" si="4"/>
        <v>0</v>
      </c>
      <c r="I21" s="730">
        <f t="shared" si="5"/>
        <v>0</v>
      </c>
      <c r="J21" s="773" t="str">
        <f t="shared" si="6"/>
        <v/>
      </c>
      <c r="K21" s="731">
        <f t="shared" si="7"/>
        <v>0</v>
      </c>
    </row>
    <row r="22" spans="1:11" ht="11.25" customHeight="1" x14ac:dyDescent="0.25">
      <c r="A22" s="36" t="str">
        <f>'Org structure'!E18</f>
        <v>2.5 - Enterprise Risk Management</v>
      </c>
      <c r="B22" s="368"/>
      <c r="C22" s="726">
        <v>0</v>
      </c>
      <c r="D22" s="727">
        <v>0</v>
      </c>
      <c r="E22" s="728">
        <v>0</v>
      </c>
      <c r="F22" s="916">
        <v>0</v>
      </c>
      <c r="G22" s="915">
        <v>0</v>
      </c>
      <c r="H22" s="729">
        <f t="shared" si="4"/>
        <v>0</v>
      </c>
      <c r="I22" s="730">
        <f t="shared" si="5"/>
        <v>0</v>
      </c>
      <c r="J22" s="773" t="str">
        <f t="shared" si="6"/>
        <v/>
      </c>
      <c r="K22" s="731">
        <f t="shared" si="7"/>
        <v>0</v>
      </c>
    </row>
    <row r="23" spans="1:11" ht="11.25" customHeight="1" x14ac:dyDescent="0.25">
      <c r="A23" s="36" t="str">
        <f>'Org structure'!E19</f>
        <v>2.6 - Jobs4U</v>
      </c>
      <c r="B23" s="368"/>
      <c r="C23" s="726">
        <v>-219.1</v>
      </c>
      <c r="D23" s="727">
        <v>0</v>
      </c>
      <c r="E23" s="728">
        <v>0</v>
      </c>
      <c r="F23" s="916">
        <v>0</v>
      </c>
      <c r="G23" s="915">
        <v>0</v>
      </c>
      <c r="H23" s="729">
        <f t="shared" si="4"/>
        <v>0</v>
      </c>
      <c r="I23" s="730">
        <f t="shared" si="5"/>
        <v>0</v>
      </c>
      <c r="J23" s="773" t="str">
        <f t="shared" si="6"/>
        <v/>
      </c>
      <c r="K23" s="731">
        <f t="shared" si="7"/>
        <v>0</v>
      </c>
    </row>
    <row r="24" spans="1:11" ht="11.25" customHeight="1" x14ac:dyDescent="0.25">
      <c r="A24" s="36">
        <f>'Org structure'!E20</f>
        <v>0</v>
      </c>
      <c r="B24" s="368"/>
      <c r="C24" s="726"/>
      <c r="D24" s="727"/>
      <c r="E24" s="728"/>
      <c r="F24" s="729"/>
      <c r="G24" s="728"/>
      <c r="H24" s="729"/>
      <c r="I24" s="730">
        <f>G24-H24</f>
        <v>0</v>
      </c>
      <c r="J24" s="773" t="str">
        <f>IF(I24=0,"",I24/H24)</f>
        <v/>
      </c>
      <c r="K24" s="731"/>
    </row>
    <row r="25" spans="1:11" ht="11.25" customHeight="1" x14ac:dyDescent="0.25">
      <c r="A25" s="36">
        <f>'Org structure'!E21</f>
        <v>0</v>
      </c>
      <c r="B25" s="368"/>
      <c r="C25" s="726"/>
      <c r="D25" s="727"/>
      <c r="E25" s="728"/>
      <c r="F25" s="729"/>
      <c r="G25" s="728"/>
      <c r="H25" s="729"/>
      <c r="I25" s="730">
        <f>G25-H25</f>
        <v>0</v>
      </c>
      <c r="J25" s="773" t="str">
        <f>IF(I25=0,"",I25/H25)</f>
        <v/>
      </c>
      <c r="K25" s="731"/>
    </row>
    <row r="26" spans="1:11" ht="11.25" customHeight="1" x14ac:dyDescent="0.25">
      <c r="A26" s="36">
        <f>'Org structure'!E22</f>
        <v>0</v>
      </c>
      <c r="B26" s="368"/>
      <c r="C26" s="726"/>
      <c r="D26" s="727"/>
      <c r="E26" s="728"/>
      <c r="F26" s="729"/>
      <c r="G26" s="728"/>
      <c r="H26" s="729"/>
      <c r="I26" s="730">
        <f>G26-H26</f>
        <v>0</v>
      </c>
      <c r="J26" s="773" t="str">
        <f>IF(I26=0,"",I26/H26)</f>
        <v/>
      </c>
      <c r="K26" s="731"/>
    </row>
    <row r="27" spans="1:11" ht="11.25" customHeight="1" x14ac:dyDescent="0.25">
      <c r="A27" s="36">
        <f>'Org structure'!E23</f>
        <v>0</v>
      </c>
      <c r="B27" s="368"/>
      <c r="C27" s="726"/>
      <c r="D27" s="727"/>
      <c r="E27" s="728"/>
      <c r="F27" s="729"/>
      <c r="G27" s="728"/>
      <c r="H27" s="729"/>
      <c r="I27" s="730">
        <f>G27-H27</f>
        <v>0</v>
      </c>
      <c r="J27" s="773" t="str">
        <f>IF(I27=0,"",I27/H27)</f>
        <v/>
      </c>
      <c r="K27" s="731"/>
    </row>
    <row r="28" spans="1:11" s="57" customFormat="1" ht="11.25" customHeight="1" x14ac:dyDescent="0.25">
      <c r="A28" s="88" t="str">
        <f>'Org structure'!A4</f>
        <v>Vote 3 - Strategic Support Services</v>
      </c>
      <c r="B28" s="363"/>
      <c r="C28" s="721">
        <f t="shared" ref="C28:K28" si="8">SUM(C29:C38)</f>
        <v>477424.7</v>
      </c>
      <c r="D28" s="722">
        <f t="shared" si="8"/>
        <v>3133585</v>
      </c>
      <c r="E28" s="723">
        <f t="shared" si="8"/>
        <v>1669715</v>
      </c>
      <c r="F28" s="724">
        <f t="shared" si="8"/>
        <v>171398.43</v>
      </c>
      <c r="G28" s="723">
        <f t="shared" si="8"/>
        <v>1533009.55</v>
      </c>
      <c r="H28" s="724">
        <f t="shared" si="8"/>
        <v>1669715</v>
      </c>
      <c r="I28" s="723">
        <f>G28-H28</f>
        <v>-136705.44999999995</v>
      </c>
      <c r="J28" s="772">
        <f>IF(I28=0,"",I28/H28)</f>
        <v>-8.1873523325837014E-2</v>
      </c>
      <c r="K28" s="725">
        <f t="shared" si="8"/>
        <v>1669715</v>
      </c>
    </row>
    <row r="29" spans="1:11" ht="11.25" customHeight="1" x14ac:dyDescent="0.25">
      <c r="A29" s="36" t="str">
        <f>'Org structure'!E25</f>
        <v>3.1 - Administration &amp; Support Services</v>
      </c>
      <c r="B29" s="368"/>
      <c r="C29" s="726">
        <v>19954.88</v>
      </c>
      <c r="D29" s="727">
        <v>1755600</v>
      </c>
      <c r="E29" s="728">
        <v>192990</v>
      </c>
      <c r="F29" s="918">
        <v>162736.68</v>
      </c>
      <c r="G29" s="917">
        <v>1380014.61</v>
      </c>
      <c r="H29" s="728">
        <f t="shared" ref="H29:H35" si="9">E29/12*$L$1</f>
        <v>192990</v>
      </c>
      <c r="I29" s="732">
        <f t="shared" ref="I29:I35" si="10">G29-H29</f>
        <v>1187024.6100000001</v>
      </c>
      <c r="J29" s="773">
        <f t="shared" ref="J29:J35" si="11">IF(I29=0,"",I29/H29)</f>
        <v>6.1507052697030939</v>
      </c>
      <c r="K29" s="731">
        <f t="shared" ref="K29:K35" si="12">E29</f>
        <v>192990</v>
      </c>
    </row>
    <row r="30" spans="1:11" ht="11.25" customHeight="1" x14ac:dyDescent="0.25">
      <c r="A30" s="36" t="str">
        <f>'Org structure'!E26</f>
        <v>3.2 - Human Resources</v>
      </c>
      <c r="B30" s="368"/>
      <c r="C30" s="726">
        <v>383787.66</v>
      </c>
      <c r="D30" s="727">
        <v>1248900</v>
      </c>
      <c r="E30" s="728">
        <v>1347680</v>
      </c>
      <c r="F30" s="918">
        <v>0</v>
      </c>
      <c r="G30" s="917">
        <v>4500</v>
      </c>
      <c r="H30" s="729">
        <f t="shared" si="9"/>
        <v>1347680</v>
      </c>
      <c r="I30" s="730">
        <f t="shared" si="10"/>
        <v>-1343180</v>
      </c>
      <c r="J30" s="773">
        <f t="shared" si="11"/>
        <v>-0.99666092841030507</v>
      </c>
      <c r="K30" s="731">
        <f t="shared" si="12"/>
        <v>1347680</v>
      </c>
    </row>
    <row r="31" spans="1:11" ht="11.25" customHeight="1" x14ac:dyDescent="0.25">
      <c r="A31" s="36" t="str">
        <f>'Org structure'!E27</f>
        <v>3.3 - Information Communication Technology</v>
      </c>
      <c r="B31" s="368"/>
      <c r="C31" s="726">
        <v>-12549.42</v>
      </c>
      <c r="D31" s="727">
        <v>2500</v>
      </c>
      <c r="E31" s="728">
        <v>2480</v>
      </c>
      <c r="F31" s="918">
        <v>500.88</v>
      </c>
      <c r="G31" s="917">
        <v>4510.79</v>
      </c>
      <c r="H31" s="729">
        <f t="shared" si="9"/>
        <v>2480</v>
      </c>
      <c r="I31" s="730">
        <f t="shared" si="10"/>
        <v>2030.79</v>
      </c>
      <c r="J31" s="773">
        <f t="shared" si="11"/>
        <v>0.81886693548387091</v>
      </c>
      <c r="K31" s="731">
        <f t="shared" si="12"/>
        <v>2480</v>
      </c>
    </row>
    <row r="32" spans="1:11" ht="11.25" customHeight="1" x14ac:dyDescent="0.25">
      <c r="A32" s="36" t="str">
        <f>'Org structure'!E28</f>
        <v>3.4 - IDP/ PMS/ SDBIP</v>
      </c>
      <c r="B32" s="368"/>
      <c r="C32" s="726">
        <v>0</v>
      </c>
      <c r="D32" s="727">
        <v>0</v>
      </c>
      <c r="E32" s="728">
        <v>0</v>
      </c>
      <c r="F32" s="918">
        <v>0</v>
      </c>
      <c r="G32" s="917">
        <v>0</v>
      </c>
      <c r="H32" s="729">
        <f t="shared" si="9"/>
        <v>0</v>
      </c>
      <c r="I32" s="730">
        <f t="shared" si="10"/>
        <v>0</v>
      </c>
      <c r="J32" s="773" t="str">
        <f t="shared" si="11"/>
        <v/>
      </c>
      <c r="K32" s="731">
        <f t="shared" si="12"/>
        <v>0</v>
      </c>
    </row>
    <row r="33" spans="1:11" ht="11.25" customHeight="1" x14ac:dyDescent="0.25">
      <c r="A33" s="36" t="str">
        <f>'Org structure'!E29</f>
        <v>3.5 - Communications &amp; Media Relations</v>
      </c>
      <c r="B33" s="368"/>
      <c r="C33" s="726">
        <v>0</v>
      </c>
      <c r="D33" s="727">
        <v>0</v>
      </c>
      <c r="E33" s="728">
        <v>0</v>
      </c>
      <c r="F33" s="918">
        <v>0</v>
      </c>
      <c r="G33" s="917">
        <v>0</v>
      </c>
      <c r="H33" s="729">
        <f t="shared" si="9"/>
        <v>0</v>
      </c>
      <c r="I33" s="730">
        <f t="shared" si="10"/>
        <v>0</v>
      </c>
      <c r="J33" s="773" t="str">
        <f t="shared" si="11"/>
        <v/>
      </c>
      <c r="K33" s="731">
        <f t="shared" si="12"/>
        <v>0</v>
      </c>
    </row>
    <row r="34" spans="1:11" ht="11.25" customHeight="1" x14ac:dyDescent="0.25">
      <c r="A34" s="36" t="str">
        <f>'Org structure'!E30</f>
        <v>3.6 - Local Economic Development</v>
      </c>
      <c r="B34" s="368"/>
      <c r="C34" s="726">
        <v>85600</v>
      </c>
      <c r="D34" s="727">
        <v>126585</v>
      </c>
      <c r="E34" s="728">
        <v>126585</v>
      </c>
      <c r="F34" s="918">
        <v>0</v>
      </c>
      <c r="G34" s="917">
        <v>126585</v>
      </c>
      <c r="H34" s="729">
        <f t="shared" si="9"/>
        <v>126585</v>
      </c>
      <c r="I34" s="730">
        <f t="shared" si="10"/>
        <v>0</v>
      </c>
      <c r="J34" s="773" t="str">
        <f t="shared" si="11"/>
        <v/>
      </c>
      <c r="K34" s="731">
        <f t="shared" si="12"/>
        <v>126585</v>
      </c>
    </row>
    <row r="35" spans="1:11" ht="11.25" customHeight="1" x14ac:dyDescent="0.25">
      <c r="A35" s="36" t="str">
        <f>'Org structure'!E31</f>
        <v>3.7 - Legal Services</v>
      </c>
      <c r="B35" s="368"/>
      <c r="C35" s="726">
        <v>631.58000000000004</v>
      </c>
      <c r="D35" s="727">
        <v>0</v>
      </c>
      <c r="E35" s="728">
        <v>-20</v>
      </c>
      <c r="F35" s="918">
        <v>8160.87</v>
      </c>
      <c r="G35" s="917">
        <v>17399.150000000001</v>
      </c>
      <c r="H35" s="729">
        <f t="shared" si="9"/>
        <v>-20</v>
      </c>
      <c r="I35" s="730">
        <f t="shared" si="10"/>
        <v>17419.150000000001</v>
      </c>
      <c r="J35" s="773">
        <f t="shared" si="11"/>
        <v>-870.9575000000001</v>
      </c>
      <c r="K35" s="731">
        <f t="shared" si="12"/>
        <v>-20</v>
      </c>
    </row>
    <row r="36" spans="1:11" ht="11.25" customHeight="1" x14ac:dyDescent="0.25">
      <c r="A36" s="36">
        <f>'Org structure'!E32</f>
        <v>0</v>
      </c>
      <c r="B36" s="368"/>
      <c r="C36" s="726"/>
      <c r="D36" s="727"/>
      <c r="E36" s="728"/>
      <c r="F36" s="729"/>
      <c r="G36" s="728"/>
      <c r="H36" s="729"/>
      <c r="I36" s="730">
        <f t="shared" ref="I36:I50" si="13">G36-H36</f>
        <v>0</v>
      </c>
      <c r="J36" s="773" t="str">
        <f t="shared" ref="J36:J50" si="14">IF(I36=0,"",I36/H36)</f>
        <v/>
      </c>
      <c r="K36" s="731"/>
    </row>
    <row r="37" spans="1:11" ht="11.25" customHeight="1" x14ac:dyDescent="0.25">
      <c r="A37" s="36">
        <f>'Org structure'!E33</f>
        <v>0</v>
      </c>
      <c r="B37" s="368"/>
      <c r="C37" s="726"/>
      <c r="D37" s="727"/>
      <c r="E37" s="728"/>
      <c r="F37" s="729"/>
      <c r="G37" s="728"/>
      <c r="H37" s="729"/>
      <c r="I37" s="730">
        <f t="shared" si="13"/>
        <v>0</v>
      </c>
      <c r="J37" s="773" t="str">
        <f t="shared" si="14"/>
        <v/>
      </c>
      <c r="K37" s="731"/>
    </row>
    <row r="38" spans="1:11" ht="11.25" customHeight="1" x14ac:dyDescent="0.25">
      <c r="A38" s="36">
        <f>'Org structure'!E34</f>
        <v>0</v>
      </c>
      <c r="B38" s="368"/>
      <c r="C38" s="726"/>
      <c r="D38" s="727"/>
      <c r="E38" s="728"/>
      <c r="F38" s="729"/>
      <c r="G38" s="728"/>
      <c r="H38" s="729"/>
      <c r="I38" s="730">
        <f t="shared" si="13"/>
        <v>0</v>
      </c>
      <c r="J38" s="773" t="str">
        <f t="shared" si="14"/>
        <v/>
      </c>
      <c r="K38" s="731"/>
    </row>
    <row r="39" spans="1:11" s="57" customFormat="1" ht="11.25" customHeight="1" x14ac:dyDescent="0.25">
      <c r="A39" s="88" t="str">
        <f>'Org structure'!A5</f>
        <v>Vote 4 - Financial Services</v>
      </c>
      <c r="B39" s="363"/>
      <c r="C39" s="721">
        <f t="shared" ref="C39:K39" si="15">SUM(C40:C49)</f>
        <v>179070255.17000002</v>
      </c>
      <c r="D39" s="722">
        <f t="shared" si="15"/>
        <v>195678542</v>
      </c>
      <c r="E39" s="723">
        <f t="shared" si="15"/>
        <v>185629918</v>
      </c>
      <c r="F39" s="724">
        <f t="shared" si="15"/>
        <v>11169068.909999998</v>
      </c>
      <c r="G39" s="723">
        <f t="shared" si="15"/>
        <v>189361236.30000001</v>
      </c>
      <c r="H39" s="724">
        <f t="shared" si="15"/>
        <v>185629918</v>
      </c>
      <c r="I39" s="723">
        <f t="shared" si="13"/>
        <v>3731318.3000000119</v>
      </c>
      <c r="J39" s="772">
        <f t="shared" si="14"/>
        <v>2.0100845489787977E-2</v>
      </c>
      <c r="K39" s="725">
        <f t="shared" si="15"/>
        <v>185629918</v>
      </c>
    </row>
    <row r="40" spans="1:11" ht="11.25" customHeight="1" x14ac:dyDescent="0.25">
      <c r="A40" s="36" t="str">
        <f>'Org structure'!E36</f>
        <v>4.1 - Administration</v>
      </c>
      <c r="B40" s="368"/>
      <c r="C40" s="726">
        <v>39114843.68</v>
      </c>
      <c r="D40" s="727">
        <v>33443220</v>
      </c>
      <c r="E40" s="728">
        <v>34764758</v>
      </c>
      <c r="F40" s="920">
        <v>1762183.9800000002</v>
      </c>
      <c r="G40" s="919">
        <v>35300761.890000001</v>
      </c>
      <c r="H40" s="729">
        <f>E40/12*$L$1</f>
        <v>34764758</v>
      </c>
      <c r="I40" s="730">
        <f t="shared" si="13"/>
        <v>536003.8900000006</v>
      </c>
      <c r="J40" s="773">
        <f t="shared" si="14"/>
        <v>1.5418024483300031E-2</v>
      </c>
      <c r="K40" s="731">
        <f>E40</f>
        <v>34764758</v>
      </c>
    </row>
    <row r="41" spans="1:11" ht="11.25" customHeight="1" x14ac:dyDescent="0.25">
      <c r="A41" s="36" t="str">
        <f>'Org structure'!E37</f>
        <v>4.2 - Revenue</v>
      </c>
      <c r="B41" s="368"/>
      <c r="C41" s="726">
        <v>139487544.17000002</v>
      </c>
      <c r="D41" s="727">
        <v>160220622</v>
      </c>
      <c r="E41" s="728">
        <v>148850460</v>
      </c>
      <c r="F41" s="920">
        <v>9113907.9299999978</v>
      </c>
      <c r="G41" s="919">
        <v>152707851.61000001</v>
      </c>
      <c r="H41" s="729">
        <f>E41/12*$L$1</f>
        <v>148850460</v>
      </c>
      <c r="I41" s="730">
        <f t="shared" si="13"/>
        <v>3857391.6100000143</v>
      </c>
      <c r="J41" s="773">
        <f t="shared" si="14"/>
        <v>2.5914542756535749E-2</v>
      </c>
      <c r="K41" s="731">
        <f>E41</f>
        <v>148850460</v>
      </c>
    </row>
    <row r="42" spans="1:11" ht="11.25" customHeight="1" x14ac:dyDescent="0.25">
      <c r="A42" s="36" t="str">
        <f>'Org structure'!E38</f>
        <v>4.3 - Financial Planning</v>
      </c>
      <c r="B42" s="368"/>
      <c r="C42" s="726">
        <v>467883.19000000006</v>
      </c>
      <c r="D42" s="727">
        <v>1871900</v>
      </c>
      <c r="E42" s="728">
        <v>1871900</v>
      </c>
      <c r="F42" s="920">
        <v>292977</v>
      </c>
      <c r="G42" s="919">
        <v>1352622.8</v>
      </c>
      <c r="H42" s="729">
        <f>E42/12*$L$1</f>
        <v>1871900</v>
      </c>
      <c r="I42" s="730">
        <f t="shared" si="13"/>
        <v>-519277.19999999995</v>
      </c>
      <c r="J42" s="773">
        <f t="shared" si="14"/>
        <v>-0.27740648538917673</v>
      </c>
      <c r="K42" s="731">
        <f>E42</f>
        <v>1871900</v>
      </c>
    </row>
    <row r="43" spans="1:11" ht="11.25" customHeight="1" x14ac:dyDescent="0.25">
      <c r="A43" s="36" t="str">
        <f>'Org structure'!E39</f>
        <v>4.4 - Supply Chain Management</v>
      </c>
      <c r="B43" s="368"/>
      <c r="C43" s="726">
        <v>-15.87</v>
      </c>
      <c r="D43" s="727">
        <v>142800</v>
      </c>
      <c r="E43" s="728">
        <v>142800</v>
      </c>
      <c r="F43" s="920">
        <v>0</v>
      </c>
      <c r="G43" s="919">
        <v>0</v>
      </c>
      <c r="H43" s="729">
        <f>E43/12*$L$1</f>
        <v>142800</v>
      </c>
      <c r="I43" s="730">
        <f t="shared" si="13"/>
        <v>-142800</v>
      </c>
      <c r="J43" s="773">
        <f t="shared" si="14"/>
        <v>-1</v>
      </c>
      <c r="K43" s="731">
        <f>E43</f>
        <v>142800</v>
      </c>
    </row>
    <row r="44" spans="1:11" ht="11.25" customHeight="1" x14ac:dyDescent="0.25">
      <c r="A44" s="36">
        <f>'Org structure'!E40</f>
        <v>0</v>
      </c>
      <c r="B44" s="368"/>
      <c r="C44" s="726"/>
      <c r="D44" s="727"/>
      <c r="E44" s="728"/>
      <c r="F44" s="729"/>
      <c r="G44" s="728"/>
      <c r="H44" s="729"/>
      <c r="I44" s="730">
        <f t="shared" si="13"/>
        <v>0</v>
      </c>
      <c r="J44" s="773" t="str">
        <f t="shared" si="14"/>
        <v/>
      </c>
      <c r="K44" s="731"/>
    </row>
    <row r="45" spans="1:11" ht="11.25" customHeight="1" x14ac:dyDescent="0.25">
      <c r="A45" s="36">
        <f>'Org structure'!E41</f>
        <v>0</v>
      </c>
      <c r="B45" s="368"/>
      <c r="C45" s="726"/>
      <c r="D45" s="727"/>
      <c r="E45" s="728"/>
      <c r="F45" s="729"/>
      <c r="G45" s="728"/>
      <c r="H45" s="729"/>
      <c r="I45" s="730">
        <f t="shared" si="13"/>
        <v>0</v>
      </c>
      <c r="J45" s="773" t="str">
        <f t="shared" si="14"/>
        <v/>
      </c>
      <c r="K45" s="731"/>
    </row>
    <row r="46" spans="1:11" ht="11.25" customHeight="1" x14ac:dyDescent="0.25">
      <c r="A46" s="36">
        <f>'Org structure'!E42</f>
        <v>0</v>
      </c>
      <c r="B46" s="368"/>
      <c r="C46" s="726"/>
      <c r="D46" s="727"/>
      <c r="E46" s="728"/>
      <c r="F46" s="729"/>
      <c r="G46" s="728"/>
      <c r="H46" s="729"/>
      <c r="I46" s="730">
        <f t="shared" si="13"/>
        <v>0</v>
      </c>
      <c r="J46" s="773" t="str">
        <f t="shared" si="14"/>
        <v/>
      </c>
      <c r="K46" s="731"/>
    </row>
    <row r="47" spans="1:11" ht="11.25" customHeight="1" x14ac:dyDescent="0.25">
      <c r="A47" s="36">
        <f>'Org structure'!E43</f>
        <v>0</v>
      </c>
      <c r="B47" s="368"/>
      <c r="C47" s="726"/>
      <c r="D47" s="727"/>
      <c r="E47" s="728"/>
      <c r="F47" s="729"/>
      <c r="G47" s="728"/>
      <c r="H47" s="729"/>
      <c r="I47" s="730">
        <f t="shared" si="13"/>
        <v>0</v>
      </c>
      <c r="J47" s="773" t="str">
        <f t="shared" si="14"/>
        <v/>
      </c>
      <c r="K47" s="731"/>
    </row>
    <row r="48" spans="1:11" ht="11.25" customHeight="1" x14ac:dyDescent="0.25">
      <c r="A48" s="36">
        <f>'Org structure'!E44</f>
        <v>0</v>
      </c>
      <c r="B48" s="368"/>
      <c r="C48" s="726"/>
      <c r="D48" s="727"/>
      <c r="E48" s="728"/>
      <c r="F48" s="729"/>
      <c r="G48" s="728"/>
      <c r="H48" s="729"/>
      <c r="I48" s="730">
        <f t="shared" si="13"/>
        <v>0</v>
      </c>
      <c r="J48" s="773" t="str">
        <f t="shared" si="14"/>
        <v/>
      </c>
      <c r="K48" s="731"/>
    </row>
    <row r="49" spans="1:11" ht="11.25" customHeight="1" x14ac:dyDescent="0.25">
      <c r="A49" s="36">
        <f>'Org structure'!E45</f>
        <v>0</v>
      </c>
      <c r="B49" s="368"/>
      <c r="C49" s="726"/>
      <c r="D49" s="727"/>
      <c r="E49" s="728"/>
      <c r="F49" s="729"/>
      <c r="G49" s="728"/>
      <c r="H49" s="729"/>
      <c r="I49" s="730">
        <f t="shared" si="13"/>
        <v>0</v>
      </c>
      <c r="J49" s="773" t="str">
        <f t="shared" si="14"/>
        <v/>
      </c>
      <c r="K49" s="731"/>
    </row>
    <row r="50" spans="1:11" s="57" customFormat="1" ht="11.25" customHeight="1" x14ac:dyDescent="0.25">
      <c r="A50" s="88" t="str">
        <f>'Org structure'!A6</f>
        <v>Vote 5 - Community Services</v>
      </c>
      <c r="B50" s="363"/>
      <c r="C50" s="721">
        <f>SUM(C51:C60)</f>
        <v>169578035.90000001</v>
      </c>
      <c r="D50" s="722">
        <f t="shared" ref="D50:K50" si="16">SUM(D51:D60)</f>
        <v>148562456</v>
      </c>
      <c r="E50" s="723">
        <f t="shared" si="16"/>
        <v>193079648</v>
      </c>
      <c r="F50" s="724">
        <f t="shared" si="16"/>
        <v>18588217.759999998</v>
      </c>
      <c r="G50" s="723">
        <f t="shared" si="16"/>
        <v>166419249.59999999</v>
      </c>
      <c r="H50" s="724">
        <f t="shared" si="16"/>
        <v>193079648</v>
      </c>
      <c r="I50" s="723">
        <f t="shared" si="13"/>
        <v>-26660398.400000006</v>
      </c>
      <c r="J50" s="772">
        <f t="shared" si="14"/>
        <v>-0.13807979596068046</v>
      </c>
      <c r="K50" s="725">
        <f t="shared" si="16"/>
        <v>193079648</v>
      </c>
    </row>
    <row r="51" spans="1:11" ht="11.25" customHeight="1" x14ac:dyDescent="0.25">
      <c r="A51" s="36" t="str">
        <f>'Org structure'!E47</f>
        <v>5.1 - Administration &amp; Support Services</v>
      </c>
      <c r="B51" s="368"/>
      <c r="C51" s="726">
        <v>42560.88</v>
      </c>
      <c r="D51" s="727">
        <v>93000</v>
      </c>
      <c r="E51" s="728">
        <v>0</v>
      </c>
      <c r="F51" s="922">
        <v>0</v>
      </c>
      <c r="G51" s="921">
        <v>0</v>
      </c>
      <c r="H51" s="729">
        <f t="shared" ref="H51:H59" si="17">E51/12*$L$1</f>
        <v>0</v>
      </c>
      <c r="I51" s="730">
        <f t="shared" ref="I51:I59" si="18">G51-H51</f>
        <v>0</v>
      </c>
      <c r="J51" s="773" t="str">
        <f t="shared" ref="J51:J59" si="19">IF(I51=0,"",I51/H51)</f>
        <v/>
      </c>
      <c r="K51" s="731">
        <f t="shared" ref="K51:K59" si="20">E51</f>
        <v>0</v>
      </c>
    </row>
    <row r="52" spans="1:11" ht="11.25" customHeight="1" x14ac:dyDescent="0.25">
      <c r="A52" s="36" t="str">
        <f>'Org structure'!E48</f>
        <v>5.2 - Human Settlements &amp; Housing</v>
      </c>
      <c r="B52" s="368"/>
      <c r="C52" s="726">
        <v>32529952.130000003</v>
      </c>
      <c r="D52" s="727">
        <v>39628736</v>
      </c>
      <c r="E52" s="728">
        <v>35366927</v>
      </c>
      <c r="F52" s="922">
        <v>399083.22</v>
      </c>
      <c r="G52" s="921">
        <v>22480217.819999997</v>
      </c>
      <c r="H52" s="729">
        <f t="shared" si="17"/>
        <v>35366927</v>
      </c>
      <c r="I52" s="730">
        <f t="shared" si="18"/>
        <v>-12886709.180000003</v>
      </c>
      <c r="J52" s="773">
        <f t="shared" si="19"/>
        <v>-0.36437175273950162</v>
      </c>
      <c r="K52" s="731">
        <f t="shared" si="20"/>
        <v>35366927</v>
      </c>
    </row>
    <row r="53" spans="1:11" ht="11.25" customHeight="1" x14ac:dyDescent="0.25">
      <c r="A53" s="36" t="str">
        <f>'Org structure'!E49</f>
        <v>5.3 - Libraries</v>
      </c>
      <c r="B53" s="368"/>
      <c r="C53" s="726">
        <v>9535766.6399999987</v>
      </c>
      <c r="D53" s="727">
        <v>9981100</v>
      </c>
      <c r="E53" s="728">
        <v>14096101</v>
      </c>
      <c r="F53" s="922">
        <v>8972.470000000003</v>
      </c>
      <c r="G53" s="921">
        <v>9176053.0000000037</v>
      </c>
      <c r="H53" s="729">
        <f t="shared" si="17"/>
        <v>14096101</v>
      </c>
      <c r="I53" s="730">
        <f t="shared" si="18"/>
        <v>-4920047.9999999963</v>
      </c>
      <c r="J53" s="773">
        <f t="shared" si="19"/>
        <v>-0.34903609161143184</v>
      </c>
      <c r="K53" s="731">
        <f t="shared" si="20"/>
        <v>14096101</v>
      </c>
    </row>
    <row r="54" spans="1:11" ht="11.25" customHeight="1" x14ac:dyDescent="0.25">
      <c r="A54" s="36" t="str">
        <f>'Org structure'!E50</f>
        <v>5.4 - Fire Brigade &amp; Disaster Risk Management</v>
      </c>
      <c r="B54" s="368"/>
      <c r="C54" s="726">
        <v>1279743.6500000001</v>
      </c>
      <c r="D54" s="727">
        <v>1501395</v>
      </c>
      <c r="E54" s="728">
        <v>3121395</v>
      </c>
      <c r="F54" s="922">
        <v>23469.79</v>
      </c>
      <c r="G54" s="921">
        <v>1533185.47</v>
      </c>
      <c r="H54" s="729">
        <f t="shared" si="17"/>
        <v>3121395</v>
      </c>
      <c r="I54" s="730">
        <f t="shared" si="18"/>
        <v>-1588209.53</v>
      </c>
      <c r="J54" s="773">
        <f t="shared" si="19"/>
        <v>-0.5088140174505309</v>
      </c>
      <c r="K54" s="731">
        <f t="shared" si="20"/>
        <v>3121395</v>
      </c>
    </row>
    <row r="55" spans="1:11" ht="11.25" customHeight="1" x14ac:dyDescent="0.25">
      <c r="A55" s="36" t="str">
        <f>'Org structure'!E51</f>
        <v>5.5 - Traffic Services</v>
      </c>
      <c r="B55" s="368"/>
      <c r="C55" s="726">
        <v>122027360.50000001</v>
      </c>
      <c r="D55" s="727">
        <v>85438020</v>
      </c>
      <c r="E55" s="728">
        <v>128575020</v>
      </c>
      <c r="F55" s="922">
        <v>18019442.079999998</v>
      </c>
      <c r="G55" s="921">
        <v>129096602.14</v>
      </c>
      <c r="H55" s="729">
        <f t="shared" si="17"/>
        <v>128575020</v>
      </c>
      <c r="I55" s="730">
        <f t="shared" si="18"/>
        <v>521582.1400000006</v>
      </c>
      <c r="J55" s="773">
        <f t="shared" si="19"/>
        <v>4.0566366623936796E-3</v>
      </c>
      <c r="K55" s="731">
        <f t="shared" si="20"/>
        <v>128575020</v>
      </c>
    </row>
    <row r="56" spans="1:11" ht="11.25" customHeight="1" x14ac:dyDescent="0.25">
      <c r="A56" s="36" t="str">
        <f>'Org structure'!E52</f>
        <v>5.6 - Municipal Halls and Resorts</v>
      </c>
      <c r="B56" s="368"/>
      <c r="C56" s="726">
        <v>3315453.44</v>
      </c>
      <c r="D56" s="727">
        <v>3823300</v>
      </c>
      <c r="E56" s="728">
        <v>3823300</v>
      </c>
      <c r="F56" s="922">
        <v>137080.62999999998</v>
      </c>
      <c r="G56" s="921">
        <v>3201871.13</v>
      </c>
      <c r="H56" s="729">
        <f t="shared" si="17"/>
        <v>3823300</v>
      </c>
      <c r="I56" s="730">
        <f t="shared" si="18"/>
        <v>-621428.87000000011</v>
      </c>
      <c r="J56" s="773">
        <f t="shared" si="19"/>
        <v>-0.16253730285355586</v>
      </c>
      <c r="K56" s="731">
        <f t="shared" si="20"/>
        <v>3823300</v>
      </c>
    </row>
    <row r="57" spans="1:11" ht="11.25" customHeight="1" x14ac:dyDescent="0.25">
      <c r="A57" s="36" t="str">
        <f>'Org structure'!E53</f>
        <v>5.7 - Customer Care Services</v>
      </c>
      <c r="B57" s="368"/>
      <c r="C57" s="726">
        <v>324240</v>
      </c>
      <c r="D57" s="727">
        <v>474000</v>
      </c>
      <c r="E57" s="728">
        <v>474000</v>
      </c>
      <c r="F57" s="922">
        <v>0</v>
      </c>
      <c r="G57" s="921">
        <v>474000</v>
      </c>
      <c r="H57" s="729">
        <f t="shared" si="17"/>
        <v>474000</v>
      </c>
      <c r="I57" s="730">
        <f t="shared" si="18"/>
        <v>0</v>
      </c>
      <c r="J57" s="773" t="str">
        <f t="shared" si="19"/>
        <v/>
      </c>
      <c r="K57" s="731">
        <f t="shared" si="20"/>
        <v>474000</v>
      </c>
    </row>
    <row r="58" spans="1:11" ht="11.25" customHeight="1" x14ac:dyDescent="0.25">
      <c r="A58" s="36" t="str">
        <f>'Org structure'!E54</f>
        <v>5.8 - Sports and Recreation</v>
      </c>
      <c r="B58" s="368"/>
      <c r="C58" s="726">
        <v>522958.66</v>
      </c>
      <c r="D58" s="727">
        <v>7622905</v>
      </c>
      <c r="E58" s="728">
        <v>7622905</v>
      </c>
      <c r="F58" s="922">
        <v>169.57</v>
      </c>
      <c r="G58" s="921">
        <v>457320.03999999992</v>
      </c>
      <c r="H58" s="729">
        <f t="shared" si="17"/>
        <v>7622905</v>
      </c>
      <c r="I58" s="730">
        <f t="shared" si="18"/>
        <v>-7165584.96</v>
      </c>
      <c r="J58" s="773">
        <f t="shared" si="19"/>
        <v>-0.94000711802127923</v>
      </c>
      <c r="K58" s="731">
        <f t="shared" si="20"/>
        <v>7622905</v>
      </c>
    </row>
    <row r="59" spans="1:11" ht="11.25" customHeight="1" x14ac:dyDescent="0.25">
      <c r="A59" s="36" t="str">
        <f>'Org structure'!E55</f>
        <v>5.9 - Health</v>
      </c>
      <c r="B59" s="368"/>
      <c r="C59" s="726">
        <v>0</v>
      </c>
      <c r="D59" s="727">
        <v>0</v>
      </c>
      <c r="E59" s="728">
        <v>0</v>
      </c>
      <c r="F59" s="729">
        <v>0</v>
      </c>
      <c r="G59" s="728">
        <v>0</v>
      </c>
      <c r="H59" s="729">
        <f t="shared" si="17"/>
        <v>0</v>
      </c>
      <c r="I59" s="730">
        <f t="shared" si="18"/>
        <v>0</v>
      </c>
      <c r="J59" s="773" t="str">
        <f t="shared" si="19"/>
        <v/>
      </c>
      <c r="K59" s="731">
        <f t="shared" si="20"/>
        <v>0</v>
      </c>
    </row>
    <row r="60" spans="1:11" ht="11.25" customHeight="1" x14ac:dyDescent="0.25">
      <c r="A60" s="36">
        <f>'Org structure'!E56</f>
        <v>0</v>
      </c>
      <c r="B60" s="368"/>
      <c r="C60" s="726"/>
      <c r="D60" s="727"/>
      <c r="E60" s="728"/>
      <c r="F60" s="729"/>
      <c r="G60" s="728"/>
      <c r="H60" s="729"/>
      <c r="I60" s="730">
        <f>G60-H60</f>
        <v>0</v>
      </c>
      <c r="J60" s="773" t="str">
        <f>IF(I60=0,"",I60/H60)</f>
        <v/>
      </c>
      <c r="K60" s="731"/>
    </row>
    <row r="61" spans="1:11" s="57" customFormat="1" ht="11.25" customHeight="1" x14ac:dyDescent="0.25">
      <c r="A61" s="88" t="str">
        <f>'Org structure'!A7</f>
        <v>Vote 6 - Technical Services</v>
      </c>
      <c r="B61" s="363"/>
      <c r="C61" s="721">
        <f>SUM(C62:C71)</f>
        <v>698499524.90999997</v>
      </c>
      <c r="D61" s="722">
        <f t="shared" ref="D61:K61" si="21">SUM(D62:D71)</f>
        <v>784505664</v>
      </c>
      <c r="E61" s="723">
        <f t="shared" si="21"/>
        <v>789667692</v>
      </c>
      <c r="F61" s="724">
        <f t="shared" si="21"/>
        <v>51205595.460000001</v>
      </c>
      <c r="G61" s="723">
        <f t="shared" si="21"/>
        <v>604794135.54999995</v>
      </c>
      <c r="H61" s="724">
        <f t="shared" si="21"/>
        <v>789667692</v>
      </c>
      <c r="I61" s="723">
        <f>G61-H61</f>
        <v>-184873556.45000005</v>
      </c>
      <c r="J61" s="772">
        <f>IF(I61=0,"",I61/H61)</f>
        <v>-0.23411563917699199</v>
      </c>
      <c r="K61" s="725">
        <f t="shared" si="21"/>
        <v>789667692</v>
      </c>
    </row>
    <row r="62" spans="1:11" ht="11.25" customHeight="1" x14ac:dyDescent="0.25">
      <c r="A62" s="36" t="str">
        <f>'Org structure'!E58</f>
        <v>6.1 - Public Works</v>
      </c>
      <c r="B62" s="368"/>
      <c r="C62" s="726">
        <v>46874529.469999999</v>
      </c>
      <c r="D62" s="727">
        <v>45105647</v>
      </c>
      <c r="E62" s="728">
        <v>45605647</v>
      </c>
      <c r="F62" s="924">
        <v>91447.71</v>
      </c>
      <c r="G62" s="923">
        <v>5648704.7300000004</v>
      </c>
      <c r="H62" s="729">
        <f t="shared" ref="H62:H68" si="22">E62/12*$L$1</f>
        <v>45605647</v>
      </c>
      <c r="I62" s="730">
        <f t="shared" ref="I62:I68" si="23">G62-H62</f>
        <v>-39956942.269999996</v>
      </c>
      <c r="J62" s="773">
        <f t="shared" ref="J62:J68" si="24">IF(I62=0,"",I62/H62)</f>
        <v>-0.87614023478276704</v>
      </c>
      <c r="K62" s="731">
        <f t="shared" ref="K62:K68" si="25">E62</f>
        <v>45605647</v>
      </c>
    </row>
    <row r="63" spans="1:11" ht="11.25" customHeight="1" x14ac:dyDescent="0.25">
      <c r="A63" s="36" t="str">
        <f>'Org structure'!E59</f>
        <v>6.2 - Cemetaries</v>
      </c>
      <c r="B63" s="368"/>
      <c r="C63" s="726">
        <v>968028.77</v>
      </c>
      <c r="D63" s="727">
        <v>789400</v>
      </c>
      <c r="E63" s="728">
        <v>789400</v>
      </c>
      <c r="F63" s="924">
        <v>94317.299999999988</v>
      </c>
      <c r="G63" s="923">
        <v>931519.29</v>
      </c>
      <c r="H63" s="729">
        <f t="shared" si="22"/>
        <v>789400</v>
      </c>
      <c r="I63" s="730">
        <f t="shared" si="23"/>
        <v>142119.29000000004</v>
      </c>
      <c r="J63" s="773">
        <f t="shared" si="24"/>
        <v>0.18003457055991898</v>
      </c>
      <c r="K63" s="731">
        <f t="shared" si="25"/>
        <v>789400</v>
      </c>
    </row>
    <row r="64" spans="1:11" ht="11.25" customHeight="1" x14ac:dyDescent="0.25">
      <c r="A64" s="36" t="str">
        <f>'Org structure'!E60</f>
        <v>6.3 - Recreational Facilities</v>
      </c>
      <c r="B64" s="368"/>
      <c r="C64" s="726">
        <v>47443.67</v>
      </c>
      <c r="D64" s="727">
        <v>54600</v>
      </c>
      <c r="E64" s="728">
        <v>54600</v>
      </c>
      <c r="F64" s="924">
        <v>2486.96</v>
      </c>
      <c r="G64" s="923">
        <v>65072.02</v>
      </c>
      <c r="H64" s="729">
        <f t="shared" si="22"/>
        <v>54600</v>
      </c>
      <c r="I64" s="730">
        <f t="shared" si="23"/>
        <v>10472.019999999997</v>
      </c>
      <c r="J64" s="773">
        <f t="shared" si="24"/>
        <v>0.19179523809523805</v>
      </c>
      <c r="K64" s="731">
        <f t="shared" si="25"/>
        <v>54600</v>
      </c>
    </row>
    <row r="65" spans="1:11" ht="11.25" customHeight="1" x14ac:dyDescent="0.25">
      <c r="A65" s="36" t="str">
        <f>'Org structure'!E61</f>
        <v>6.4 - Refuse Removal</v>
      </c>
      <c r="B65" s="368"/>
      <c r="C65" s="726">
        <v>51758748.200000003</v>
      </c>
      <c r="D65" s="727">
        <v>53676353</v>
      </c>
      <c r="E65" s="728">
        <v>54809185</v>
      </c>
      <c r="F65" s="924">
        <v>3021304.4400000004</v>
      </c>
      <c r="G65" s="923">
        <v>53382234.759999998</v>
      </c>
      <c r="H65" s="729">
        <f t="shared" si="22"/>
        <v>54809185</v>
      </c>
      <c r="I65" s="730">
        <f t="shared" si="23"/>
        <v>-1426950.2400000021</v>
      </c>
      <c r="J65" s="773">
        <f t="shared" si="24"/>
        <v>-2.603487426423148E-2</v>
      </c>
      <c r="K65" s="731">
        <f t="shared" si="25"/>
        <v>54809185</v>
      </c>
    </row>
    <row r="66" spans="1:11" ht="11.25" customHeight="1" x14ac:dyDescent="0.25">
      <c r="A66" s="36" t="str">
        <f>'Org structure'!E62</f>
        <v>6.5 - Sewerages</v>
      </c>
      <c r="B66" s="368"/>
      <c r="C66" s="726">
        <v>116291717.84999999</v>
      </c>
      <c r="D66" s="727">
        <v>126238880</v>
      </c>
      <c r="E66" s="728">
        <v>127461641</v>
      </c>
      <c r="F66" s="924">
        <v>5465295.3899999997</v>
      </c>
      <c r="G66" s="923">
        <v>95954853.459999993</v>
      </c>
      <c r="H66" s="729">
        <f t="shared" si="22"/>
        <v>127461641</v>
      </c>
      <c r="I66" s="730">
        <f t="shared" si="23"/>
        <v>-31506787.540000007</v>
      </c>
      <c r="J66" s="773">
        <f t="shared" si="24"/>
        <v>-0.24718642638533114</v>
      </c>
      <c r="K66" s="731">
        <f t="shared" si="25"/>
        <v>127461641</v>
      </c>
    </row>
    <row r="67" spans="1:11" ht="11.25" customHeight="1" x14ac:dyDescent="0.25">
      <c r="A67" s="36" t="str">
        <f>'Org structure'!E63</f>
        <v>6.6 - Electricity Management</v>
      </c>
      <c r="B67" s="368"/>
      <c r="C67" s="726">
        <v>364764594.31999999</v>
      </c>
      <c r="D67" s="727">
        <v>421140054</v>
      </c>
      <c r="E67" s="728">
        <v>423817647</v>
      </c>
      <c r="F67" s="924">
        <v>35440612.590000004</v>
      </c>
      <c r="G67" s="923">
        <v>367137400.08999991</v>
      </c>
      <c r="H67" s="729">
        <f t="shared" si="22"/>
        <v>423817647</v>
      </c>
      <c r="I67" s="730">
        <f t="shared" si="23"/>
        <v>-56680246.910000086</v>
      </c>
      <c r="J67" s="773">
        <f t="shared" si="24"/>
        <v>-0.13373734508511412</v>
      </c>
      <c r="K67" s="731">
        <f t="shared" si="25"/>
        <v>423817647</v>
      </c>
    </row>
    <row r="68" spans="1:11" ht="11.25" customHeight="1" x14ac:dyDescent="0.25">
      <c r="A68" s="36" t="str">
        <f>'Org structure'!E64</f>
        <v>6.7 - Water Management</v>
      </c>
      <c r="B68" s="368"/>
      <c r="C68" s="726">
        <v>117794462.63000003</v>
      </c>
      <c r="D68" s="727">
        <v>137500730</v>
      </c>
      <c r="E68" s="728">
        <v>137129572</v>
      </c>
      <c r="F68" s="924">
        <v>7090131.0700000003</v>
      </c>
      <c r="G68" s="923">
        <v>81674351.199999988</v>
      </c>
      <c r="H68" s="729">
        <f t="shared" si="22"/>
        <v>137129572</v>
      </c>
      <c r="I68" s="730">
        <f t="shared" si="23"/>
        <v>-55455220.800000012</v>
      </c>
      <c r="J68" s="773">
        <f t="shared" si="24"/>
        <v>-0.40440015958045877</v>
      </c>
      <c r="K68" s="731">
        <f t="shared" si="25"/>
        <v>137129572</v>
      </c>
    </row>
    <row r="69" spans="1:11" ht="11.25" customHeight="1" x14ac:dyDescent="0.25">
      <c r="A69" s="36">
        <f>'Org structure'!E65</f>
        <v>0</v>
      </c>
      <c r="B69" s="368"/>
      <c r="C69" s="726"/>
      <c r="D69" s="727"/>
      <c r="E69" s="728"/>
      <c r="F69" s="729"/>
      <c r="G69" s="728"/>
      <c r="H69" s="729"/>
      <c r="I69" s="730">
        <f>G69-H69</f>
        <v>0</v>
      </c>
      <c r="J69" s="773" t="str">
        <f>IF(I69=0,"",I69/H69)</f>
        <v/>
      </c>
      <c r="K69" s="731"/>
    </row>
    <row r="70" spans="1:11" ht="11.25" customHeight="1" x14ac:dyDescent="0.25">
      <c r="A70" s="36">
        <f>'Org structure'!E66</f>
        <v>0</v>
      </c>
      <c r="B70" s="368"/>
      <c r="C70" s="726"/>
      <c r="D70" s="727"/>
      <c r="E70" s="728"/>
      <c r="F70" s="729"/>
      <c r="G70" s="728"/>
      <c r="H70" s="729"/>
      <c r="I70" s="730">
        <f t="shared" ref="I70:I133" si="26">G70-H70</f>
        <v>0</v>
      </c>
      <c r="J70" s="773" t="str">
        <f t="shared" ref="J70:J133" si="27">IF(I70=0,"",I70/H70)</f>
        <v/>
      </c>
      <c r="K70" s="731"/>
    </row>
    <row r="71" spans="1:11" ht="11.25" customHeight="1" x14ac:dyDescent="0.25">
      <c r="A71" s="36">
        <f>'Org structure'!E67</f>
        <v>0</v>
      </c>
      <c r="B71" s="368"/>
      <c r="C71" s="726"/>
      <c r="D71" s="727"/>
      <c r="E71" s="728"/>
      <c r="F71" s="729"/>
      <c r="G71" s="728"/>
      <c r="H71" s="729"/>
      <c r="I71" s="730">
        <f t="shared" si="26"/>
        <v>0</v>
      </c>
      <c r="J71" s="773" t="str">
        <f t="shared" si="27"/>
        <v/>
      </c>
      <c r="K71" s="731"/>
    </row>
    <row r="72" spans="1:11" ht="11.25" hidden="1" customHeight="1" x14ac:dyDescent="0.25">
      <c r="A72" s="88" t="str">
        <f>'Org structure'!A8</f>
        <v>Vote 7 - [NAME OF VOTE 7]</v>
      </c>
      <c r="B72" s="363"/>
      <c r="C72" s="721">
        <f t="shared" ref="C72:K72" si="28">SUM(C73:C82)</f>
        <v>0</v>
      </c>
      <c r="D72" s="722">
        <f t="shared" si="28"/>
        <v>0</v>
      </c>
      <c r="E72" s="723">
        <f t="shared" si="28"/>
        <v>0</v>
      </c>
      <c r="F72" s="724">
        <f t="shared" si="28"/>
        <v>0</v>
      </c>
      <c r="G72" s="723">
        <f t="shared" si="28"/>
        <v>0</v>
      </c>
      <c r="H72" s="724">
        <f t="shared" si="28"/>
        <v>0</v>
      </c>
      <c r="I72" s="730">
        <f t="shared" si="26"/>
        <v>0</v>
      </c>
      <c r="J72" s="773" t="str">
        <f t="shared" si="27"/>
        <v/>
      </c>
      <c r="K72" s="725">
        <f t="shared" si="28"/>
        <v>0</v>
      </c>
    </row>
    <row r="73" spans="1:11" ht="11.25" hidden="1" customHeight="1" x14ac:dyDescent="0.25">
      <c r="A73" s="36" t="str">
        <f>'Org structure'!E69</f>
        <v>7.1 - [Name of sub-vote]</v>
      </c>
      <c r="B73" s="368"/>
      <c r="C73" s="726"/>
      <c r="D73" s="727"/>
      <c r="E73" s="728"/>
      <c r="F73" s="729"/>
      <c r="G73" s="728"/>
      <c r="H73" s="729"/>
      <c r="I73" s="730">
        <f t="shared" si="26"/>
        <v>0</v>
      </c>
      <c r="J73" s="773" t="str">
        <f t="shared" si="27"/>
        <v/>
      </c>
      <c r="K73" s="731"/>
    </row>
    <row r="74" spans="1:11" ht="11.25" hidden="1" customHeight="1" x14ac:dyDescent="0.25">
      <c r="A74" s="36">
        <f>'Org structure'!E70</f>
        <v>0</v>
      </c>
      <c r="B74" s="368"/>
      <c r="C74" s="726"/>
      <c r="D74" s="727"/>
      <c r="E74" s="728"/>
      <c r="F74" s="729"/>
      <c r="G74" s="728"/>
      <c r="H74" s="729"/>
      <c r="I74" s="730">
        <f t="shared" si="26"/>
        <v>0</v>
      </c>
      <c r="J74" s="773" t="str">
        <f t="shared" si="27"/>
        <v/>
      </c>
      <c r="K74" s="731"/>
    </row>
    <row r="75" spans="1:11" ht="11.25" hidden="1" customHeight="1" x14ac:dyDescent="0.25">
      <c r="A75" s="36">
        <f>'Org structure'!E71</f>
        <v>0</v>
      </c>
      <c r="B75" s="368"/>
      <c r="C75" s="726"/>
      <c r="D75" s="727"/>
      <c r="E75" s="728"/>
      <c r="F75" s="729"/>
      <c r="G75" s="728"/>
      <c r="H75" s="729"/>
      <c r="I75" s="730">
        <f t="shared" si="26"/>
        <v>0</v>
      </c>
      <c r="J75" s="773" t="str">
        <f t="shared" si="27"/>
        <v/>
      </c>
      <c r="K75" s="731"/>
    </row>
    <row r="76" spans="1:11" ht="11.25" hidden="1" customHeight="1" x14ac:dyDescent="0.25">
      <c r="A76" s="36">
        <f>'Org structure'!E72</f>
        <v>0</v>
      </c>
      <c r="B76" s="368"/>
      <c r="C76" s="726"/>
      <c r="D76" s="727"/>
      <c r="E76" s="728"/>
      <c r="F76" s="729"/>
      <c r="G76" s="728"/>
      <c r="H76" s="729"/>
      <c r="I76" s="730">
        <f t="shared" si="26"/>
        <v>0</v>
      </c>
      <c r="J76" s="773" t="str">
        <f t="shared" si="27"/>
        <v/>
      </c>
      <c r="K76" s="731"/>
    </row>
    <row r="77" spans="1:11" ht="11.25" hidden="1" customHeight="1" x14ac:dyDescent="0.25">
      <c r="A77" s="36">
        <f>'Org structure'!E73</f>
        <v>0</v>
      </c>
      <c r="B77" s="368"/>
      <c r="C77" s="726"/>
      <c r="D77" s="727"/>
      <c r="E77" s="728"/>
      <c r="F77" s="729"/>
      <c r="G77" s="728"/>
      <c r="H77" s="729"/>
      <c r="I77" s="730">
        <f t="shared" si="26"/>
        <v>0</v>
      </c>
      <c r="J77" s="773" t="str">
        <f t="shared" si="27"/>
        <v/>
      </c>
      <c r="K77" s="731"/>
    </row>
    <row r="78" spans="1:11" ht="11.25" hidden="1" customHeight="1" x14ac:dyDescent="0.25">
      <c r="A78" s="36">
        <f>'Org structure'!E74</f>
        <v>0</v>
      </c>
      <c r="B78" s="368"/>
      <c r="C78" s="726"/>
      <c r="D78" s="727"/>
      <c r="E78" s="728"/>
      <c r="F78" s="729"/>
      <c r="G78" s="728"/>
      <c r="H78" s="729"/>
      <c r="I78" s="730">
        <f t="shared" si="26"/>
        <v>0</v>
      </c>
      <c r="J78" s="773" t="str">
        <f t="shared" si="27"/>
        <v/>
      </c>
      <c r="K78" s="731"/>
    </row>
    <row r="79" spans="1:11" ht="11.25" hidden="1" customHeight="1" x14ac:dyDescent="0.25">
      <c r="A79" s="36">
        <f>'Org structure'!E75</f>
        <v>0</v>
      </c>
      <c r="B79" s="368"/>
      <c r="C79" s="726"/>
      <c r="D79" s="727"/>
      <c r="E79" s="728"/>
      <c r="F79" s="729"/>
      <c r="G79" s="728"/>
      <c r="H79" s="729"/>
      <c r="I79" s="730">
        <f t="shared" si="26"/>
        <v>0</v>
      </c>
      <c r="J79" s="773" t="str">
        <f t="shared" si="27"/>
        <v/>
      </c>
      <c r="K79" s="731"/>
    </row>
    <row r="80" spans="1:11" ht="11.25" hidden="1" customHeight="1" x14ac:dyDescent="0.25">
      <c r="A80" s="36">
        <f>'Org structure'!E76</f>
        <v>0</v>
      </c>
      <c r="B80" s="368"/>
      <c r="C80" s="726"/>
      <c r="D80" s="727"/>
      <c r="E80" s="728"/>
      <c r="F80" s="729"/>
      <c r="G80" s="728"/>
      <c r="H80" s="729"/>
      <c r="I80" s="730">
        <f t="shared" si="26"/>
        <v>0</v>
      </c>
      <c r="J80" s="773" t="str">
        <f t="shared" si="27"/>
        <v/>
      </c>
      <c r="K80" s="731"/>
    </row>
    <row r="81" spans="1:11" ht="11.25" hidden="1" customHeight="1" x14ac:dyDescent="0.25">
      <c r="A81" s="36">
        <f>'Org structure'!E77</f>
        <v>0</v>
      </c>
      <c r="B81" s="368"/>
      <c r="C81" s="726"/>
      <c r="D81" s="727"/>
      <c r="E81" s="728"/>
      <c r="F81" s="729"/>
      <c r="G81" s="728"/>
      <c r="H81" s="729"/>
      <c r="I81" s="730">
        <f t="shared" si="26"/>
        <v>0</v>
      </c>
      <c r="J81" s="773" t="str">
        <f t="shared" si="27"/>
        <v/>
      </c>
      <c r="K81" s="731"/>
    </row>
    <row r="82" spans="1:11" ht="11.25" hidden="1" customHeight="1" x14ac:dyDescent="0.25">
      <c r="A82" s="36">
        <f>'Org structure'!E78</f>
        <v>0</v>
      </c>
      <c r="B82" s="368"/>
      <c r="C82" s="726"/>
      <c r="D82" s="727"/>
      <c r="E82" s="728"/>
      <c r="F82" s="729"/>
      <c r="G82" s="728"/>
      <c r="H82" s="729"/>
      <c r="I82" s="730">
        <f t="shared" si="26"/>
        <v>0</v>
      </c>
      <c r="J82" s="773" t="str">
        <f t="shared" si="27"/>
        <v/>
      </c>
      <c r="K82" s="731"/>
    </row>
    <row r="83" spans="1:11" ht="11.25" hidden="1" customHeight="1" x14ac:dyDescent="0.25">
      <c r="A83" s="88" t="str">
        <f>'Org structure'!A9</f>
        <v>Vote 8 - [NAME OF VOTE 8]</v>
      </c>
      <c r="B83" s="368"/>
      <c r="C83" s="721">
        <f>SUM(C84:C93)</f>
        <v>0</v>
      </c>
      <c r="D83" s="722">
        <f t="shared" ref="D83:K83" si="29">SUM(D84:D93)</f>
        <v>0</v>
      </c>
      <c r="E83" s="723">
        <f t="shared" si="29"/>
        <v>0</v>
      </c>
      <c r="F83" s="724">
        <f t="shared" si="29"/>
        <v>0</v>
      </c>
      <c r="G83" s="723">
        <f t="shared" si="29"/>
        <v>0</v>
      </c>
      <c r="H83" s="724">
        <f t="shared" si="29"/>
        <v>0</v>
      </c>
      <c r="I83" s="730">
        <f t="shared" si="26"/>
        <v>0</v>
      </c>
      <c r="J83" s="773" t="str">
        <f t="shared" si="27"/>
        <v/>
      </c>
      <c r="K83" s="725">
        <f t="shared" si="29"/>
        <v>0</v>
      </c>
    </row>
    <row r="84" spans="1:11" ht="11.25" hidden="1" customHeight="1" x14ac:dyDescent="0.25">
      <c r="A84" s="36" t="str">
        <f>'Org structure'!E80</f>
        <v>8.1 - [Name of sub-vote]</v>
      </c>
      <c r="B84" s="368"/>
      <c r="C84" s="726"/>
      <c r="D84" s="727"/>
      <c r="E84" s="728"/>
      <c r="F84" s="729"/>
      <c r="G84" s="728"/>
      <c r="H84" s="729"/>
      <c r="I84" s="730">
        <f t="shared" si="26"/>
        <v>0</v>
      </c>
      <c r="J84" s="773" t="str">
        <f t="shared" si="27"/>
        <v/>
      </c>
      <c r="K84" s="731"/>
    </row>
    <row r="85" spans="1:11" ht="11.25" hidden="1" customHeight="1" x14ac:dyDescent="0.25">
      <c r="A85" s="36">
        <f>'Org structure'!E81</f>
        <v>0</v>
      </c>
      <c r="B85" s="368"/>
      <c r="C85" s="726"/>
      <c r="D85" s="727"/>
      <c r="E85" s="728"/>
      <c r="F85" s="729"/>
      <c r="G85" s="728"/>
      <c r="H85" s="729"/>
      <c r="I85" s="730">
        <f t="shared" si="26"/>
        <v>0</v>
      </c>
      <c r="J85" s="773" t="str">
        <f t="shared" si="27"/>
        <v/>
      </c>
      <c r="K85" s="731"/>
    </row>
    <row r="86" spans="1:11" ht="11.25" hidden="1" customHeight="1" x14ac:dyDescent="0.25">
      <c r="A86" s="36">
        <f>'Org structure'!E82</f>
        <v>0</v>
      </c>
      <c r="B86" s="368"/>
      <c r="C86" s="726"/>
      <c r="D86" s="727"/>
      <c r="E86" s="728"/>
      <c r="F86" s="729"/>
      <c r="G86" s="728"/>
      <c r="H86" s="729"/>
      <c r="I86" s="730">
        <f t="shared" si="26"/>
        <v>0</v>
      </c>
      <c r="J86" s="773" t="str">
        <f t="shared" si="27"/>
        <v/>
      </c>
      <c r="K86" s="731"/>
    </row>
    <row r="87" spans="1:11" ht="11.25" hidden="1" customHeight="1" x14ac:dyDescent="0.25">
      <c r="A87" s="36">
        <f>'Org structure'!E83</f>
        <v>0</v>
      </c>
      <c r="B87" s="368"/>
      <c r="C87" s="726"/>
      <c r="D87" s="727"/>
      <c r="E87" s="728"/>
      <c r="F87" s="729"/>
      <c r="G87" s="728"/>
      <c r="H87" s="729"/>
      <c r="I87" s="730">
        <f t="shared" si="26"/>
        <v>0</v>
      </c>
      <c r="J87" s="773" t="str">
        <f t="shared" si="27"/>
        <v/>
      </c>
      <c r="K87" s="731"/>
    </row>
    <row r="88" spans="1:11" ht="11.25" hidden="1" customHeight="1" x14ac:dyDescent="0.25">
      <c r="A88" s="36">
        <f>'Org structure'!E84</f>
        <v>0</v>
      </c>
      <c r="B88" s="368"/>
      <c r="C88" s="726"/>
      <c r="D88" s="727"/>
      <c r="E88" s="728"/>
      <c r="F88" s="729"/>
      <c r="G88" s="728"/>
      <c r="H88" s="729"/>
      <c r="I88" s="730">
        <f t="shared" si="26"/>
        <v>0</v>
      </c>
      <c r="J88" s="773" t="str">
        <f t="shared" si="27"/>
        <v/>
      </c>
      <c r="K88" s="731"/>
    </row>
    <row r="89" spans="1:11" ht="11.25" hidden="1" customHeight="1" x14ac:dyDescent="0.25">
      <c r="A89" s="36">
        <f>'Org structure'!E85</f>
        <v>0</v>
      </c>
      <c r="B89" s="368"/>
      <c r="C89" s="726"/>
      <c r="D89" s="727"/>
      <c r="E89" s="728"/>
      <c r="F89" s="729"/>
      <c r="G89" s="728"/>
      <c r="H89" s="729"/>
      <c r="I89" s="730">
        <f t="shared" si="26"/>
        <v>0</v>
      </c>
      <c r="J89" s="773" t="str">
        <f t="shared" si="27"/>
        <v/>
      </c>
      <c r="K89" s="731"/>
    </row>
    <row r="90" spans="1:11" ht="11.25" hidden="1" customHeight="1" x14ac:dyDescent="0.25">
      <c r="A90" s="36">
        <f>'Org structure'!E86</f>
        <v>0</v>
      </c>
      <c r="B90" s="368"/>
      <c r="C90" s="726"/>
      <c r="D90" s="727"/>
      <c r="E90" s="728"/>
      <c r="F90" s="729"/>
      <c r="G90" s="728"/>
      <c r="H90" s="729"/>
      <c r="I90" s="730">
        <f t="shared" si="26"/>
        <v>0</v>
      </c>
      <c r="J90" s="773" t="str">
        <f t="shared" si="27"/>
        <v/>
      </c>
      <c r="K90" s="731"/>
    </row>
    <row r="91" spans="1:11" ht="11.25" hidden="1" customHeight="1" x14ac:dyDescent="0.25">
      <c r="A91" s="36">
        <f>'Org structure'!E87</f>
        <v>0</v>
      </c>
      <c r="B91" s="368"/>
      <c r="C91" s="726"/>
      <c r="D91" s="727"/>
      <c r="E91" s="728"/>
      <c r="F91" s="729"/>
      <c r="G91" s="728"/>
      <c r="H91" s="729"/>
      <c r="I91" s="730">
        <f t="shared" si="26"/>
        <v>0</v>
      </c>
      <c r="J91" s="773" t="str">
        <f t="shared" si="27"/>
        <v/>
      </c>
      <c r="K91" s="731"/>
    </row>
    <row r="92" spans="1:11" ht="11.25" hidden="1" customHeight="1" x14ac:dyDescent="0.25">
      <c r="A92" s="36">
        <f>'Org structure'!E88</f>
        <v>0</v>
      </c>
      <c r="B92" s="368"/>
      <c r="C92" s="726"/>
      <c r="D92" s="727"/>
      <c r="E92" s="728"/>
      <c r="F92" s="729"/>
      <c r="G92" s="728"/>
      <c r="H92" s="729"/>
      <c r="I92" s="730">
        <f t="shared" si="26"/>
        <v>0</v>
      </c>
      <c r="J92" s="773" t="str">
        <f t="shared" si="27"/>
        <v/>
      </c>
      <c r="K92" s="731"/>
    </row>
    <row r="93" spans="1:11" ht="11.25" hidden="1" customHeight="1" x14ac:dyDescent="0.25">
      <c r="A93" s="36">
        <f>'Org structure'!E89</f>
        <v>0</v>
      </c>
      <c r="B93" s="368"/>
      <c r="C93" s="726"/>
      <c r="D93" s="727"/>
      <c r="E93" s="728"/>
      <c r="F93" s="729"/>
      <c r="G93" s="728"/>
      <c r="H93" s="729"/>
      <c r="I93" s="730">
        <f t="shared" si="26"/>
        <v>0</v>
      </c>
      <c r="J93" s="773" t="str">
        <f t="shared" si="27"/>
        <v/>
      </c>
      <c r="K93" s="731"/>
    </row>
    <row r="94" spans="1:11" ht="11.25" hidden="1" customHeight="1" x14ac:dyDescent="0.25">
      <c r="A94" s="88" t="str">
        <f>'Org structure'!A10</f>
        <v>Vote 9 - [NAME OF VOTE 9]</v>
      </c>
      <c r="B94" s="368"/>
      <c r="C94" s="721">
        <f>SUM(C95:C104)</f>
        <v>0</v>
      </c>
      <c r="D94" s="722">
        <f t="shared" ref="D94:K94" si="30">SUM(D95:D104)</f>
        <v>0</v>
      </c>
      <c r="E94" s="723">
        <f t="shared" si="30"/>
        <v>0</v>
      </c>
      <c r="F94" s="724">
        <f t="shared" si="30"/>
        <v>0</v>
      </c>
      <c r="G94" s="723">
        <f t="shared" si="30"/>
        <v>0</v>
      </c>
      <c r="H94" s="724">
        <f t="shared" si="30"/>
        <v>0</v>
      </c>
      <c r="I94" s="730">
        <f t="shared" si="26"/>
        <v>0</v>
      </c>
      <c r="J94" s="773" t="str">
        <f t="shared" si="27"/>
        <v/>
      </c>
      <c r="K94" s="725">
        <f t="shared" si="30"/>
        <v>0</v>
      </c>
    </row>
    <row r="95" spans="1:11" ht="11.25" hidden="1" customHeight="1" x14ac:dyDescent="0.25">
      <c r="A95" s="36" t="str">
        <f>'Org structure'!E91</f>
        <v>9.1 - [Name of sub-vote]</v>
      </c>
      <c r="B95" s="368"/>
      <c r="C95" s="726"/>
      <c r="D95" s="727"/>
      <c r="E95" s="728"/>
      <c r="F95" s="729"/>
      <c r="G95" s="728"/>
      <c r="H95" s="729"/>
      <c r="I95" s="730">
        <f t="shared" si="26"/>
        <v>0</v>
      </c>
      <c r="J95" s="773" t="str">
        <f t="shared" si="27"/>
        <v/>
      </c>
      <c r="K95" s="731"/>
    </row>
    <row r="96" spans="1:11" ht="11.25" hidden="1" customHeight="1" x14ac:dyDescent="0.25">
      <c r="A96" s="36">
        <f>'Org structure'!E92</f>
        <v>0</v>
      </c>
      <c r="B96" s="368"/>
      <c r="C96" s="726"/>
      <c r="D96" s="727"/>
      <c r="E96" s="728"/>
      <c r="F96" s="729"/>
      <c r="G96" s="728"/>
      <c r="H96" s="729"/>
      <c r="I96" s="730">
        <f t="shared" si="26"/>
        <v>0</v>
      </c>
      <c r="J96" s="773" t="str">
        <f t="shared" si="27"/>
        <v/>
      </c>
      <c r="K96" s="731"/>
    </row>
    <row r="97" spans="1:11" ht="11.25" hidden="1" customHeight="1" x14ac:dyDescent="0.25">
      <c r="A97" s="36">
        <f>'Org structure'!E93</f>
        <v>0</v>
      </c>
      <c r="B97" s="368"/>
      <c r="C97" s="726"/>
      <c r="D97" s="727"/>
      <c r="E97" s="728"/>
      <c r="F97" s="729"/>
      <c r="G97" s="728"/>
      <c r="H97" s="729"/>
      <c r="I97" s="730">
        <f t="shared" si="26"/>
        <v>0</v>
      </c>
      <c r="J97" s="773" t="str">
        <f t="shared" si="27"/>
        <v/>
      </c>
      <c r="K97" s="731"/>
    </row>
    <row r="98" spans="1:11" ht="11.25" hidden="1" customHeight="1" x14ac:dyDescent="0.25">
      <c r="A98" s="36">
        <f>'Org structure'!E94</f>
        <v>0</v>
      </c>
      <c r="B98" s="368"/>
      <c r="C98" s="726"/>
      <c r="D98" s="727"/>
      <c r="E98" s="728"/>
      <c r="F98" s="729"/>
      <c r="G98" s="728"/>
      <c r="H98" s="729"/>
      <c r="I98" s="730">
        <f t="shared" si="26"/>
        <v>0</v>
      </c>
      <c r="J98" s="773" t="str">
        <f t="shared" si="27"/>
        <v/>
      </c>
      <c r="K98" s="731"/>
    </row>
    <row r="99" spans="1:11" ht="11.25" hidden="1" customHeight="1" x14ac:dyDescent="0.25">
      <c r="A99" s="36">
        <f>'Org structure'!E95</f>
        <v>0</v>
      </c>
      <c r="B99" s="368"/>
      <c r="C99" s="726"/>
      <c r="D99" s="727"/>
      <c r="E99" s="728"/>
      <c r="F99" s="729"/>
      <c r="G99" s="728"/>
      <c r="H99" s="729"/>
      <c r="I99" s="730">
        <f t="shared" si="26"/>
        <v>0</v>
      </c>
      <c r="J99" s="773" t="str">
        <f t="shared" si="27"/>
        <v/>
      </c>
      <c r="K99" s="731"/>
    </row>
    <row r="100" spans="1:11" ht="11.25" hidden="1" customHeight="1" x14ac:dyDescent="0.25">
      <c r="A100" s="36">
        <f>'Org structure'!E96</f>
        <v>0</v>
      </c>
      <c r="B100" s="368"/>
      <c r="C100" s="726"/>
      <c r="D100" s="727"/>
      <c r="E100" s="728"/>
      <c r="F100" s="729"/>
      <c r="G100" s="728"/>
      <c r="H100" s="729"/>
      <c r="I100" s="730">
        <f t="shared" si="26"/>
        <v>0</v>
      </c>
      <c r="J100" s="773" t="str">
        <f t="shared" si="27"/>
        <v/>
      </c>
      <c r="K100" s="731"/>
    </row>
    <row r="101" spans="1:11" ht="11.25" hidden="1" customHeight="1" x14ac:dyDescent="0.25">
      <c r="A101" s="36">
        <f>'Org structure'!E97</f>
        <v>0</v>
      </c>
      <c r="B101" s="368"/>
      <c r="C101" s="726"/>
      <c r="D101" s="727"/>
      <c r="E101" s="728"/>
      <c r="F101" s="729"/>
      <c r="G101" s="728"/>
      <c r="H101" s="729"/>
      <c r="I101" s="730">
        <f t="shared" si="26"/>
        <v>0</v>
      </c>
      <c r="J101" s="773" t="str">
        <f t="shared" si="27"/>
        <v/>
      </c>
      <c r="K101" s="731"/>
    </row>
    <row r="102" spans="1:11" ht="11.25" hidden="1" customHeight="1" x14ac:dyDescent="0.25">
      <c r="A102" s="36">
        <f>'Org structure'!E98</f>
        <v>0</v>
      </c>
      <c r="B102" s="368"/>
      <c r="C102" s="726"/>
      <c r="D102" s="727"/>
      <c r="E102" s="728"/>
      <c r="F102" s="729"/>
      <c r="G102" s="728"/>
      <c r="H102" s="729"/>
      <c r="I102" s="730">
        <f t="shared" si="26"/>
        <v>0</v>
      </c>
      <c r="J102" s="773" t="str">
        <f t="shared" si="27"/>
        <v/>
      </c>
      <c r="K102" s="731"/>
    </row>
    <row r="103" spans="1:11" ht="11.25" hidden="1" customHeight="1" x14ac:dyDescent="0.25">
      <c r="A103" s="36">
        <f>'Org structure'!E99</f>
        <v>0</v>
      </c>
      <c r="B103" s="368"/>
      <c r="C103" s="726"/>
      <c r="D103" s="727"/>
      <c r="E103" s="728"/>
      <c r="F103" s="729"/>
      <c r="G103" s="728"/>
      <c r="H103" s="729"/>
      <c r="I103" s="730">
        <f t="shared" si="26"/>
        <v>0</v>
      </c>
      <c r="J103" s="773" t="str">
        <f t="shared" si="27"/>
        <v/>
      </c>
      <c r="K103" s="731"/>
    </row>
    <row r="104" spans="1:11" ht="11.25" hidden="1" customHeight="1" x14ac:dyDescent="0.25">
      <c r="A104" s="36">
        <f>'Org structure'!E100</f>
        <v>0</v>
      </c>
      <c r="B104" s="368"/>
      <c r="C104" s="726"/>
      <c r="D104" s="727"/>
      <c r="E104" s="728"/>
      <c r="F104" s="729"/>
      <c r="G104" s="728"/>
      <c r="H104" s="729"/>
      <c r="I104" s="730">
        <f t="shared" si="26"/>
        <v>0</v>
      </c>
      <c r="J104" s="773" t="str">
        <f t="shared" si="27"/>
        <v/>
      </c>
      <c r="K104" s="731"/>
    </row>
    <row r="105" spans="1:11" ht="11.25" hidden="1" customHeight="1" x14ac:dyDescent="0.25">
      <c r="A105" s="88" t="str">
        <f>'Org structure'!A11</f>
        <v>Vote 10 - [NAME OF VOTE 10]</v>
      </c>
      <c r="B105" s="368"/>
      <c r="C105" s="721">
        <f>SUM(C106:C115)</f>
        <v>0</v>
      </c>
      <c r="D105" s="722">
        <f t="shared" ref="D105:K105" si="31">SUM(D106:D115)</f>
        <v>0</v>
      </c>
      <c r="E105" s="723">
        <f t="shared" si="31"/>
        <v>0</v>
      </c>
      <c r="F105" s="724">
        <f t="shared" si="31"/>
        <v>0</v>
      </c>
      <c r="G105" s="723">
        <f t="shared" si="31"/>
        <v>0</v>
      </c>
      <c r="H105" s="724">
        <f t="shared" si="31"/>
        <v>0</v>
      </c>
      <c r="I105" s="730">
        <f t="shared" si="26"/>
        <v>0</v>
      </c>
      <c r="J105" s="773" t="str">
        <f t="shared" si="27"/>
        <v/>
      </c>
      <c r="K105" s="725">
        <f t="shared" si="31"/>
        <v>0</v>
      </c>
    </row>
    <row r="106" spans="1:11" ht="11.25" hidden="1" customHeight="1" x14ac:dyDescent="0.25">
      <c r="A106" s="36" t="str">
        <f>'Org structure'!E102</f>
        <v>10.1 - [Name of sub-vote]</v>
      </c>
      <c r="B106" s="368"/>
      <c r="C106" s="726"/>
      <c r="D106" s="727"/>
      <c r="E106" s="728"/>
      <c r="F106" s="729"/>
      <c r="G106" s="728"/>
      <c r="H106" s="729"/>
      <c r="I106" s="730">
        <f t="shared" si="26"/>
        <v>0</v>
      </c>
      <c r="J106" s="773" t="str">
        <f t="shared" si="27"/>
        <v/>
      </c>
      <c r="K106" s="731"/>
    </row>
    <row r="107" spans="1:11" ht="11.25" hidden="1" customHeight="1" x14ac:dyDescent="0.25">
      <c r="A107" s="36">
        <f>'Org structure'!E103</f>
        <v>0</v>
      </c>
      <c r="B107" s="368"/>
      <c r="C107" s="726"/>
      <c r="D107" s="727"/>
      <c r="E107" s="728"/>
      <c r="F107" s="729"/>
      <c r="G107" s="728"/>
      <c r="H107" s="729"/>
      <c r="I107" s="730">
        <f t="shared" si="26"/>
        <v>0</v>
      </c>
      <c r="J107" s="773" t="str">
        <f t="shared" si="27"/>
        <v/>
      </c>
      <c r="K107" s="731"/>
    </row>
    <row r="108" spans="1:11" ht="11.25" hidden="1" customHeight="1" x14ac:dyDescent="0.25">
      <c r="A108" s="36">
        <f>'Org structure'!E104</f>
        <v>0</v>
      </c>
      <c r="B108" s="368"/>
      <c r="C108" s="726"/>
      <c r="D108" s="727"/>
      <c r="E108" s="728"/>
      <c r="F108" s="729"/>
      <c r="G108" s="728"/>
      <c r="H108" s="729"/>
      <c r="I108" s="730">
        <f t="shared" si="26"/>
        <v>0</v>
      </c>
      <c r="J108" s="773" t="str">
        <f t="shared" si="27"/>
        <v/>
      </c>
      <c r="K108" s="731"/>
    </row>
    <row r="109" spans="1:11" ht="11.25" hidden="1" customHeight="1" x14ac:dyDescent="0.25">
      <c r="A109" s="36">
        <f>'Org structure'!E105</f>
        <v>0</v>
      </c>
      <c r="B109" s="368"/>
      <c r="C109" s="726"/>
      <c r="D109" s="727"/>
      <c r="E109" s="728"/>
      <c r="F109" s="729"/>
      <c r="G109" s="728"/>
      <c r="H109" s="729"/>
      <c r="I109" s="730">
        <f t="shared" si="26"/>
        <v>0</v>
      </c>
      <c r="J109" s="773" t="str">
        <f t="shared" si="27"/>
        <v/>
      </c>
      <c r="K109" s="731"/>
    </row>
    <row r="110" spans="1:11" ht="11.25" hidden="1" customHeight="1" x14ac:dyDescent="0.25">
      <c r="A110" s="36">
        <f>'Org structure'!E106</f>
        <v>0</v>
      </c>
      <c r="B110" s="368"/>
      <c r="C110" s="726"/>
      <c r="D110" s="727"/>
      <c r="E110" s="728"/>
      <c r="F110" s="729"/>
      <c r="G110" s="728"/>
      <c r="H110" s="729"/>
      <c r="I110" s="730">
        <f t="shared" si="26"/>
        <v>0</v>
      </c>
      <c r="J110" s="773" t="str">
        <f t="shared" si="27"/>
        <v/>
      </c>
      <c r="K110" s="731"/>
    </row>
    <row r="111" spans="1:11" ht="11.25" hidden="1" customHeight="1" x14ac:dyDescent="0.25">
      <c r="A111" s="36">
        <f>'Org structure'!E107</f>
        <v>0</v>
      </c>
      <c r="B111" s="368"/>
      <c r="C111" s="726"/>
      <c r="D111" s="727"/>
      <c r="E111" s="728"/>
      <c r="F111" s="729"/>
      <c r="G111" s="728"/>
      <c r="H111" s="729"/>
      <c r="I111" s="730">
        <f t="shared" si="26"/>
        <v>0</v>
      </c>
      <c r="J111" s="773" t="str">
        <f t="shared" si="27"/>
        <v/>
      </c>
      <c r="K111" s="731"/>
    </row>
    <row r="112" spans="1:11" ht="11.25" hidden="1" customHeight="1" x14ac:dyDescent="0.25">
      <c r="A112" s="36">
        <f>'Org structure'!E108</f>
        <v>0</v>
      </c>
      <c r="B112" s="368"/>
      <c r="C112" s="726"/>
      <c r="D112" s="727"/>
      <c r="E112" s="728"/>
      <c r="F112" s="729"/>
      <c r="G112" s="728"/>
      <c r="H112" s="729"/>
      <c r="I112" s="730">
        <f t="shared" si="26"/>
        <v>0</v>
      </c>
      <c r="J112" s="773" t="str">
        <f t="shared" si="27"/>
        <v/>
      </c>
      <c r="K112" s="731"/>
    </row>
    <row r="113" spans="1:11" ht="11.25" hidden="1" customHeight="1" x14ac:dyDescent="0.25">
      <c r="A113" s="36">
        <f>'Org structure'!E109</f>
        <v>0</v>
      </c>
      <c r="B113" s="368"/>
      <c r="C113" s="726"/>
      <c r="D113" s="727"/>
      <c r="E113" s="728"/>
      <c r="F113" s="729"/>
      <c r="G113" s="728"/>
      <c r="H113" s="729"/>
      <c r="I113" s="730">
        <f t="shared" si="26"/>
        <v>0</v>
      </c>
      <c r="J113" s="773" t="str">
        <f t="shared" si="27"/>
        <v/>
      </c>
      <c r="K113" s="731"/>
    </row>
    <row r="114" spans="1:11" ht="11.25" hidden="1" customHeight="1" x14ac:dyDescent="0.25">
      <c r="A114" s="36">
        <f>'Org structure'!E110</f>
        <v>0</v>
      </c>
      <c r="B114" s="368"/>
      <c r="C114" s="726"/>
      <c r="D114" s="727"/>
      <c r="E114" s="728"/>
      <c r="F114" s="729"/>
      <c r="G114" s="728"/>
      <c r="H114" s="729"/>
      <c r="I114" s="730">
        <f t="shared" si="26"/>
        <v>0</v>
      </c>
      <c r="J114" s="773" t="str">
        <f t="shared" si="27"/>
        <v/>
      </c>
      <c r="K114" s="731"/>
    </row>
    <row r="115" spans="1:11" ht="11.25" hidden="1" customHeight="1" x14ac:dyDescent="0.25">
      <c r="A115" s="36">
        <f>'Org structure'!E111</f>
        <v>0</v>
      </c>
      <c r="B115" s="368"/>
      <c r="C115" s="726"/>
      <c r="D115" s="727"/>
      <c r="E115" s="728"/>
      <c r="F115" s="729"/>
      <c r="G115" s="728"/>
      <c r="H115" s="729"/>
      <c r="I115" s="730">
        <f t="shared" si="26"/>
        <v>0</v>
      </c>
      <c r="J115" s="773" t="str">
        <f t="shared" si="27"/>
        <v/>
      </c>
      <c r="K115" s="731"/>
    </row>
    <row r="116" spans="1:11" ht="11.25" hidden="1" customHeight="1" x14ac:dyDescent="0.25">
      <c r="A116" s="570" t="str">
        <f>'Org structure'!A12</f>
        <v>Vote 11 - [NAME OF VOTE 11]</v>
      </c>
      <c r="B116" s="368"/>
      <c r="C116" s="721">
        <f>SUM(C117:C126)</f>
        <v>0</v>
      </c>
      <c r="D116" s="722">
        <f t="shared" ref="D116:K116" si="32">SUM(D117:D126)</f>
        <v>0</v>
      </c>
      <c r="E116" s="723">
        <f t="shared" si="32"/>
        <v>0</v>
      </c>
      <c r="F116" s="724">
        <f t="shared" si="32"/>
        <v>0</v>
      </c>
      <c r="G116" s="723">
        <f t="shared" si="32"/>
        <v>0</v>
      </c>
      <c r="H116" s="724">
        <f t="shared" si="32"/>
        <v>0</v>
      </c>
      <c r="I116" s="730">
        <f t="shared" si="26"/>
        <v>0</v>
      </c>
      <c r="J116" s="773" t="str">
        <f t="shared" si="27"/>
        <v/>
      </c>
      <c r="K116" s="725">
        <f t="shared" si="32"/>
        <v>0</v>
      </c>
    </row>
    <row r="117" spans="1:11" ht="11.25" hidden="1" customHeight="1" x14ac:dyDescent="0.25">
      <c r="A117" s="569" t="str">
        <f>'Org structure'!E113</f>
        <v>11.1 - [Name of sub-vote]</v>
      </c>
      <c r="B117" s="368"/>
      <c r="C117" s="726"/>
      <c r="D117" s="727"/>
      <c r="E117" s="728"/>
      <c r="F117" s="729"/>
      <c r="G117" s="728"/>
      <c r="H117" s="729"/>
      <c r="I117" s="730">
        <f t="shared" si="26"/>
        <v>0</v>
      </c>
      <c r="J117" s="773" t="str">
        <f t="shared" si="27"/>
        <v/>
      </c>
      <c r="K117" s="731"/>
    </row>
    <row r="118" spans="1:11" ht="11.25" hidden="1" customHeight="1" x14ac:dyDescent="0.25">
      <c r="A118" s="569">
        <f>'Org structure'!E114</f>
        <v>0</v>
      </c>
      <c r="B118" s="368"/>
      <c r="C118" s="726"/>
      <c r="D118" s="727"/>
      <c r="E118" s="728"/>
      <c r="F118" s="729"/>
      <c r="G118" s="728"/>
      <c r="H118" s="729"/>
      <c r="I118" s="730">
        <f t="shared" si="26"/>
        <v>0</v>
      </c>
      <c r="J118" s="773" t="str">
        <f t="shared" si="27"/>
        <v/>
      </c>
      <c r="K118" s="731"/>
    </row>
    <row r="119" spans="1:11" ht="11.25" hidden="1" customHeight="1" x14ac:dyDescent="0.25">
      <c r="A119" s="569">
        <f>'Org structure'!E115</f>
        <v>0</v>
      </c>
      <c r="B119" s="368"/>
      <c r="C119" s="726"/>
      <c r="D119" s="727"/>
      <c r="E119" s="728"/>
      <c r="F119" s="729"/>
      <c r="G119" s="728"/>
      <c r="H119" s="729"/>
      <c r="I119" s="730">
        <f t="shared" si="26"/>
        <v>0</v>
      </c>
      <c r="J119" s="773" t="str">
        <f t="shared" si="27"/>
        <v/>
      </c>
      <c r="K119" s="731"/>
    </row>
    <row r="120" spans="1:11" ht="11.25" hidden="1" customHeight="1" x14ac:dyDescent="0.25">
      <c r="A120" s="569">
        <f>'Org structure'!E116</f>
        <v>0</v>
      </c>
      <c r="B120" s="368"/>
      <c r="C120" s="726"/>
      <c r="D120" s="727"/>
      <c r="E120" s="728"/>
      <c r="F120" s="729"/>
      <c r="G120" s="728"/>
      <c r="H120" s="729"/>
      <c r="I120" s="730">
        <f t="shared" si="26"/>
        <v>0</v>
      </c>
      <c r="J120" s="773" t="str">
        <f t="shared" si="27"/>
        <v/>
      </c>
      <c r="K120" s="731"/>
    </row>
    <row r="121" spans="1:11" ht="11.25" hidden="1" customHeight="1" x14ac:dyDescent="0.25">
      <c r="A121" s="569">
        <f>'Org structure'!E117</f>
        <v>0</v>
      </c>
      <c r="B121" s="368"/>
      <c r="C121" s="726"/>
      <c r="D121" s="727"/>
      <c r="E121" s="728"/>
      <c r="F121" s="729"/>
      <c r="G121" s="728"/>
      <c r="H121" s="729"/>
      <c r="I121" s="730">
        <f t="shared" si="26"/>
        <v>0</v>
      </c>
      <c r="J121" s="773" t="str">
        <f t="shared" si="27"/>
        <v/>
      </c>
      <c r="K121" s="731"/>
    </row>
    <row r="122" spans="1:11" ht="11.25" hidden="1" customHeight="1" x14ac:dyDescent="0.25">
      <c r="A122" s="569">
        <f>'Org structure'!E118</f>
        <v>0</v>
      </c>
      <c r="B122" s="368"/>
      <c r="C122" s="726"/>
      <c r="D122" s="727"/>
      <c r="E122" s="728"/>
      <c r="F122" s="729"/>
      <c r="G122" s="728"/>
      <c r="H122" s="729"/>
      <c r="I122" s="730">
        <f t="shared" si="26"/>
        <v>0</v>
      </c>
      <c r="J122" s="773" t="str">
        <f t="shared" si="27"/>
        <v/>
      </c>
      <c r="K122" s="731"/>
    </row>
    <row r="123" spans="1:11" ht="11.25" hidden="1" customHeight="1" x14ac:dyDescent="0.25">
      <c r="A123" s="569">
        <f>'Org structure'!E119</f>
        <v>0</v>
      </c>
      <c r="B123" s="368"/>
      <c r="C123" s="726"/>
      <c r="D123" s="727"/>
      <c r="E123" s="728"/>
      <c r="F123" s="729"/>
      <c r="G123" s="728"/>
      <c r="H123" s="729"/>
      <c r="I123" s="730">
        <f t="shared" si="26"/>
        <v>0</v>
      </c>
      <c r="J123" s="773" t="str">
        <f t="shared" si="27"/>
        <v/>
      </c>
      <c r="K123" s="731"/>
    </row>
    <row r="124" spans="1:11" ht="11.25" hidden="1" customHeight="1" x14ac:dyDescent="0.25">
      <c r="A124" s="569">
        <f>'Org structure'!E120</f>
        <v>0</v>
      </c>
      <c r="B124" s="368"/>
      <c r="C124" s="726"/>
      <c r="D124" s="727"/>
      <c r="E124" s="728"/>
      <c r="F124" s="729"/>
      <c r="G124" s="728"/>
      <c r="H124" s="729"/>
      <c r="I124" s="730">
        <f t="shared" si="26"/>
        <v>0</v>
      </c>
      <c r="J124" s="773" t="str">
        <f t="shared" si="27"/>
        <v/>
      </c>
      <c r="K124" s="731"/>
    </row>
    <row r="125" spans="1:11" ht="11.25" hidden="1" customHeight="1" x14ac:dyDescent="0.25">
      <c r="A125" s="569">
        <f>'Org structure'!E121</f>
        <v>0</v>
      </c>
      <c r="B125" s="368"/>
      <c r="C125" s="726"/>
      <c r="D125" s="727"/>
      <c r="E125" s="728"/>
      <c r="F125" s="729"/>
      <c r="G125" s="728"/>
      <c r="H125" s="729"/>
      <c r="I125" s="730">
        <f t="shared" si="26"/>
        <v>0</v>
      </c>
      <c r="J125" s="773" t="str">
        <f t="shared" si="27"/>
        <v/>
      </c>
      <c r="K125" s="731"/>
    </row>
    <row r="126" spans="1:11" ht="11.25" hidden="1" customHeight="1" x14ac:dyDescent="0.25">
      <c r="A126" s="569">
        <f>'Org structure'!E122</f>
        <v>0</v>
      </c>
      <c r="B126" s="368"/>
      <c r="C126" s="726"/>
      <c r="D126" s="727"/>
      <c r="E126" s="728"/>
      <c r="F126" s="729"/>
      <c r="G126" s="728"/>
      <c r="H126" s="729"/>
      <c r="I126" s="730">
        <f t="shared" si="26"/>
        <v>0</v>
      </c>
      <c r="J126" s="773" t="str">
        <f t="shared" si="27"/>
        <v/>
      </c>
      <c r="K126" s="731"/>
    </row>
    <row r="127" spans="1:11" ht="11.25" hidden="1" customHeight="1" x14ac:dyDescent="0.25">
      <c r="A127" s="570" t="str">
        <f>'Org structure'!A13</f>
        <v>Vote 12 - [NAME OF VOTE 12]</v>
      </c>
      <c r="B127" s="368"/>
      <c r="C127" s="721">
        <f>SUM(C128:C137)</f>
        <v>0</v>
      </c>
      <c r="D127" s="722">
        <f t="shared" ref="D127:K127" si="33">SUM(D128:D137)</f>
        <v>0</v>
      </c>
      <c r="E127" s="723">
        <f t="shared" si="33"/>
        <v>0</v>
      </c>
      <c r="F127" s="724">
        <f t="shared" si="33"/>
        <v>0</v>
      </c>
      <c r="G127" s="723">
        <f t="shared" si="33"/>
        <v>0</v>
      </c>
      <c r="H127" s="724">
        <f t="shared" si="33"/>
        <v>0</v>
      </c>
      <c r="I127" s="730">
        <f t="shared" si="26"/>
        <v>0</v>
      </c>
      <c r="J127" s="773" t="str">
        <f t="shared" si="27"/>
        <v/>
      </c>
      <c r="K127" s="725">
        <f t="shared" si="33"/>
        <v>0</v>
      </c>
    </row>
    <row r="128" spans="1:11" ht="11.25" hidden="1" customHeight="1" x14ac:dyDescent="0.25">
      <c r="A128" s="569" t="str">
        <f>'Org structure'!E124</f>
        <v>12.1 - [Name of sub-vote]</v>
      </c>
      <c r="B128" s="368"/>
      <c r="C128" s="726"/>
      <c r="D128" s="727"/>
      <c r="E128" s="728"/>
      <c r="F128" s="729"/>
      <c r="G128" s="728"/>
      <c r="H128" s="729"/>
      <c r="I128" s="730">
        <f t="shared" si="26"/>
        <v>0</v>
      </c>
      <c r="J128" s="773" t="str">
        <f t="shared" si="27"/>
        <v/>
      </c>
      <c r="K128" s="731"/>
    </row>
    <row r="129" spans="1:11" ht="11.25" hidden="1" customHeight="1" x14ac:dyDescent="0.25">
      <c r="A129" s="569">
        <f>'Org structure'!E125</f>
        <v>0</v>
      </c>
      <c r="B129" s="368"/>
      <c r="C129" s="726"/>
      <c r="D129" s="727"/>
      <c r="E129" s="728"/>
      <c r="F129" s="729"/>
      <c r="G129" s="728"/>
      <c r="H129" s="729"/>
      <c r="I129" s="730">
        <f t="shared" si="26"/>
        <v>0</v>
      </c>
      <c r="J129" s="773" t="str">
        <f t="shared" si="27"/>
        <v/>
      </c>
      <c r="K129" s="731"/>
    </row>
    <row r="130" spans="1:11" ht="11.25" hidden="1" customHeight="1" x14ac:dyDescent="0.25">
      <c r="A130" s="569">
        <f>'Org structure'!E126</f>
        <v>0</v>
      </c>
      <c r="B130" s="368"/>
      <c r="C130" s="726"/>
      <c r="D130" s="727"/>
      <c r="E130" s="728"/>
      <c r="F130" s="729"/>
      <c r="G130" s="728"/>
      <c r="H130" s="729"/>
      <c r="I130" s="730">
        <f t="shared" si="26"/>
        <v>0</v>
      </c>
      <c r="J130" s="773" t="str">
        <f t="shared" si="27"/>
        <v/>
      </c>
      <c r="K130" s="731"/>
    </row>
    <row r="131" spans="1:11" ht="11.25" hidden="1" customHeight="1" x14ac:dyDescent="0.25">
      <c r="A131" s="569">
        <f>'Org structure'!E127</f>
        <v>0</v>
      </c>
      <c r="B131" s="368"/>
      <c r="C131" s="726"/>
      <c r="D131" s="727"/>
      <c r="E131" s="728"/>
      <c r="F131" s="729"/>
      <c r="G131" s="728"/>
      <c r="H131" s="729"/>
      <c r="I131" s="730">
        <f t="shared" si="26"/>
        <v>0</v>
      </c>
      <c r="J131" s="773" t="str">
        <f t="shared" si="27"/>
        <v/>
      </c>
      <c r="K131" s="731"/>
    </row>
    <row r="132" spans="1:11" ht="11.25" hidden="1" customHeight="1" x14ac:dyDescent="0.25">
      <c r="A132" s="569">
        <f>'Org structure'!E128</f>
        <v>0</v>
      </c>
      <c r="B132" s="368"/>
      <c r="C132" s="726"/>
      <c r="D132" s="727"/>
      <c r="E132" s="728"/>
      <c r="F132" s="729"/>
      <c r="G132" s="728"/>
      <c r="H132" s="729"/>
      <c r="I132" s="730">
        <f t="shared" si="26"/>
        <v>0</v>
      </c>
      <c r="J132" s="773" t="str">
        <f t="shared" si="27"/>
        <v/>
      </c>
      <c r="K132" s="731"/>
    </row>
    <row r="133" spans="1:11" ht="11.25" hidden="1" customHeight="1" x14ac:dyDescent="0.25">
      <c r="A133" s="569">
        <f>'Org structure'!E129</f>
        <v>0</v>
      </c>
      <c r="B133" s="368"/>
      <c r="C133" s="726"/>
      <c r="D133" s="727"/>
      <c r="E133" s="728"/>
      <c r="F133" s="729"/>
      <c r="G133" s="728"/>
      <c r="H133" s="729"/>
      <c r="I133" s="730">
        <f t="shared" si="26"/>
        <v>0</v>
      </c>
      <c r="J133" s="773" t="str">
        <f t="shared" si="27"/>
        <v/>
      </c>
      <c r="K133" s="731"/>
    </row>
    <row r="134" spans="1:11" ht="11.25" hidden="1" customHeight="1" x14ac:dyDescent="0.25">
      <c r="A134" s="569">
        <f>'Org structure'!E130</f>
        <v>0</v>
      </c>
      <c r="B134" s="368"/>
      <c r="C134" s="726"/>
      <c r="D134" s="727"/>
      <c r="E134" s="728"/>
      <c r="F134" s="729"/>
      <c r="G134" s="728"/>
      <c r="H134" s="729"/>
      <c r="I134" s="730">
        <f t="shared" ref="I134:I197" si="34">G134-H134</f>
        <v>0</v>
      </c>
      <c r="J134" s="773" t="str">
        <f t="shared" ref="J134:J197" si="35">IF(I134=0,"",I134/H134)</f>
        <v/>
      </c>
      <c r="K134" s="731"/>
    </row>
    <row r="135" spans="1:11" ht="11.25" hidden="1" customHeight="1" x14ac:dyDescent="0.25">
      <c r="A135" s="569">
        <f>'Org structure'!E131</f>
        <v>0</v>
      </c>
      <c r="B135" s="368"/>
      <c r="C135" s="726"/>
      <c r="D135" s="727"/>
      <c r="E135" s="728"/>
      <c r="F135" s="729"/>
      <c r="G135" s="728"/>
      <c r="H135" s="729"/>
      <c r="I135" s="730">
        <f t="shared" si="34"/>
        <v>0</v>
      </c>
      <c r="J135" s="773" t="str">
        <f t="shared" si="35"/>
        <v/>
      </c>
      <c r="K135" s="731"/>
    </row>
    <row r="136" spans="1:11" ht="11.25" hidden="1" customHeight="1" x14ac:dyDescent="0.25">
      <c r="A136" s="569">
        <f>'Org structure'!E132</f>
        <v>0</v>
      </c>
      <c r="B136" s="368"/>
      <c r="C136" s="726"/>
      <c r="D136" s="727"/>
      <c r="E136" s="728"/>
      <c r="F136" s="729"/>
      <c r="G136" s="728"/>
      <c r="H136" s="729"/>
      <c r="I136" s="730">
        <f t="shared" si="34"/>
        <v>0</v>
      </c>
      <c r="J136" s="773" t="str">
        <f t="shared" si="35"/>
        <v/>
      </c>
      <c r="K136" s="731"/>
    </row>
    <row r="137" spans="1:11" ht="11.25" hidden="1" customHeight="1" x14ac:dyDescent="0.25">
      <c r="A137" s="569">
        <f>'Org structure'!E133</f>
        <v>0</v>
      </c>
      <c r="B137" s="368"/>
      <c r="C137" s="726"/>
      <c r="D137" s="727"/>
      <c r="E137" s="728"/>
      <c r="F137" s="729"/>
      <c r="G137" s="728"/>
      <c r="H137" s="729"/>
      <c r="I137" s="730">
        <f t="shared" si="34"/>
        <v>0</v>
      </c>
      <c r="J137" s="773" t="str">
        <f t="shared" si="35"/>
        <v/>
      </c>
      <c r="K137" s="731"/>
    </row>
    <row r="138" spans="1:11" ht="11.25" hidden="1" customHeight="1" x14ac:dyDescent="0.25">
      <c r="A138" s="570" t="str">
        <f>'Org structure'!A14</f>
        <v>Vote 13 - [NAME OF VOTE 13]</v>
      </c>
      <c r="B138" s="368"/>
      <c r="C138" s="721">
        <f>SUM(C139:C148)</f>
        <v>0</v>
      </c>
      <c r="D138" s="722">
        <f t="shared" ref="D138:K138" si="36">SUM(D139:D148)</f>
        <v>0</v>
      </c>
      <c r="E138" s="723">
        <f t="shared" si="36"/>
        <v>0</v>
      </c>
      <c r="F138" s="724">
        <f t="shared" si="36"/>
        <v>0</v>
      </c>
      <c r="G138" s="723">
        <f t="shared" si="36"/>
        <v>0</v>
      </c>
      <c r="H138" s="724">
        <f t="shared" si="36"/>
        <v>0</v>
      </c>
      <c r="I138" s="730">
        <f t="shared" si="34"/>
        <v>0</v>
      </c>
      <c r="J138" s="773" t="str">
        <f t="shared" si="35"/>
        <v/>
      </c>
      <c r="K138" s="725">
        <f t="shared" si="36"/>
        <v>0</v>
      </c>
    </row>
    <row r="139" spans="1:11" ht="11.25" hidden="1" customHeight="1" x14ac:dyDescent="0.25">
      <c r="A139" s="569" t="str">
        <f>'Org structure'!E135</f>
        <v>13.1 - [Name of sub-vote]</v>
      </c>
      <c r="B139" s="368"/>
      <c r="C139" s="726"/>
      <c r="D139" s="727"/>
      <c r="E139" s="728"/>
      <c r="F139" s="729"/>
      <c r="G139" s="728"/>
      <c r="H139" s="729"/>
      <c r="I139" s="730">
        <f t="shared" si="34"/>
        <v>0</v>
      </c>
      <c r="J139" s="773" t="str">
        <f t="shared" si="35"/>
        <v/>
      </c>
      <c r="K139" s="731"/>
    </row>
    <row r="140" spans="1:11" ht="11.25" hidden="1" customHeight="1" x14ac:dyDescent="0.25">
      <c r="A140" s="569">
        <f>'Org structure'!E136</f>
        <v>0</v>
      </c>
      <c r="B140" s="368"/>
      <c r="C140" s="726"/>
      <c r="D140" s="727"/>
      <c r="E140" s="728"/>
      <c r="F140" s="729"/>
      <c r="G140" s="728"/>
      <c r="H140" s="729"/>
      <c r="I140" s="730">
        <f t="shared" si="34"/>
        <v>0</v>
      </c>
      <c r="J140" s="773" t="str">
        <f t="shared" si="35"/>
        <v/>
      </c>
      <c r="K140" s="731"/>
    </row>
    <row r="141" spans="1:11" ht="11.25" hidden="1" customHeight="1" x14ac:dyDescent="0.25">
      <c r="A141" s="569">
        <f>'Org structure'!E137</f>
        <v>0</v>
      </c>
      <c r="B141" s="368"/>
      <c r="C141" s="726"/>
      <c r="D141" s="727"/>
      <c r="E141" s="728"/>
      <c r="F141" s="729"/>
      <c r="G141" s="728"/>
      <c r="H141" s="729"/>
      <c r="I141" s="730">
        <f t="shared" si="34"/>
        <v>0</v>
      </c>
      <c r="J141" s="773" t="str">
        <f t="shared" si="35"/>
        <v/>
      </c>
      <c r="K141" s="731"/>
    </row>
    <row r="142" spans="1:11" ht="11.25" hidden="1" customHeight="1" x14ac:dyDescent="0.25">
      <c r="A142" s="569">
        <f>'Org structure'!E138</f>
        <v>0</v>
      </c>
      <c r="B142" s="368"/>
      <c r="C142" s="726"/>
      <c r="D142" s="727"/>
      <c r="E142" s="728"/>
      <c r="F142" s="729"/>
      <c r="G142" s="728"/>
      <c r="H142" s="729"/>
      <c r="I142" s="730">
        <f t="shared" si="34"/>
        <v>0</v>
      </c>
      <c r="J142" s="773" t="str">
        <f t="shared" si="35"/>
        <v/>
      </c>
      <c r="K142" s="731"/>
    </row>
    <row r="143" spans="1:11" ht="11.25" hidden="1" customHeight="1" x14ac:dyDescent="0.25">
      <c r="A143" s="569">
        <f>'Org structure'!E139</f>
        <v>0</v>
      </c>
      <c r="B143" s="368"/>
      <c r="C143" s="726"/>
      <c r="D143" s="727"/>
      <c r="E143" s="728"/>
      <c r="F143" s="729"/>
      <c r="G143" s="728"/>
      <c r="H143" s="729"/>
      <c r="I143" s="730">
        <f t="shared" si="34"/>
        <v>0</v>
      </c>
      <c r="J143" s="773" t="str">
        <f t="shared" si="35"/>
        <v/>
      </c>
      <c r="K143" s="731"/>
    </row>
    <row r="144" spans="1:11" ht="11.25" hidden="1" customHeight="1" x14ac:dyDescent="0.25">
      <c r="A144" s="569">
        <f>'Org structure'!E140</f>
        <v>0</v>
      </c>
      <c r="B144" s="368"/>
      <c r="C144" s="726"/>
      <c r="D144" s="727"/>
      <c r="E144" s="728"/>
      <c r="F144" s="729"/>
      <c r="G144" s="728"/>
      <c r="H144" s="729"/>
      <c r="I144" s="730">
        <f t="shared" si="34"/>
        <v>0</v>
      </c>
      <c r="J144" s="773" t="str">
        <f t="shared" si="35"/>
        <v/>
      </c>
      <c r="K144" s="731"/>
    </row>
    <row r="145" spans="1:11" ht="11.25" hidden="1" customHeight="1" x14ac:dyDescent="0.25">
      <c r="A145" s="569">
        <f>'Org structure'!E141</f>
        <v>0</v>
      </c>
      <c r="B145" s="368"/>
      <c r="C145" s="726"/>
      <c r="D145" s="727"/>
      <c r="E145" s="728"/>
      <c r="F145" s="729"/>
      <c r="G145" s="728"/>
      <c r="H145" s="729"/>
      <c r="I145" s="730">
        <f t="shared" si="34"/>
        <v>0</v>
      </c>
      <c r="J145" s="773" t="str">
        <f t="shared" si="35"/>
        <v/>
      </c>
      <c r="K145" s="731"/>
    </row>
    <row r="146" spans="1:11" ht="11.25" hidden="1" customHeight="1" x14ac:dyDescent="0.25">
      <c r="A146" s="569">
        <f>'Org structure'!E142</f>
        <v>0</v>
      </c>
      <c r="B146" s="368"/>
      <c r="C146" s="726"/>
      <c r="D146" s="727"/>
      <c r="E146" s="728"/>
      <c r="F146" s="729"/>
      <c r="G146" s="728"/>
      <c r="H146" s="729"/>
      <c r="I146" s="730">
        <f t="shared" si="34"/>
        <v>0</v>
      </c>
      <c r="J146" s="773" t="str">
        <f t="shared" si="35"/>
        <v/>
      </c>
      <c r="K146" s="731"/>
    </row>
    <row r="147" spans="1:11" ht="11.25" hidden="1" customHeight="1" x14ac:dyDescent="0.25">
      <c r="A147" s="569">
        <f>'Org structure'!E143</f>
        <v>0</v>
      </c>
      <c r="B147" s="368"/>
      <c r="C147" s="726"/>
      <c r="D147" s="727"/>
      <c r="E147" s="728"/>
      <c r="F147" s="729"/>
      <c r="G147" s="728"/>
      <c r="H147" s="729"/>
      <c r="I147" s="730">
        <f t="shared" si="34"/>
        <v>0</v>
      </c>
      <c r="J147" s="773" t="str">
        <f t="shared" si="35"/>
        <v/>
      </c>
      <c r="K147" s="731"/>
    </row>
    <row r="148" spans="1:11" ht="11.25" hidden="1" customHeight="1" x14ac:dyDescent="0.25">
      <c r="A148" s="569">
        <f>'Org structure'!E144</f>
        <v>0</v>
      </c>
      <c r="B148" s="368"/>
      <c r="C148" s="726"/>
      <c r="D148" s="727"/>
      <c r="E148" s="728"/>
      <c r="F148" s="729"/>
      <c r="G148" s="728"/>
      <c r="H148" s="729"/>
      <c r="I148" s="730">
        <f t="shared" si="34"/>
        <v>0</v>
      </c>
      <c r="J148" s="773" t="str">
        <f t="shared" si="35"/>
        <v/>
      </c>
      <c r="K148" s="731"/>
    </row>
    <row r="149" spans="1:11" ht="11.25" hidden="1" customHeight="1" x14ac:dyDescent="0.25">
      <c r="A149" s="570" t="str">
        <f>'Org structure'!A15</f>
        <v>Vote 14 - [NAME OF VOTE 14]</v>
      </c>
      <c r="B149" s="368"/>
      <c r="C149" s="721">
        <f>SUM(C150:C159)</f>
        <v>0</v>
      </c>
      <c r="D149" s="722">
        <f t="shared" ref="D149:K149" si="37">SUM(D150:D159)</f>
        <v>0</v>
      </c>
      <c r="E149" s="723">
        <f t="shared" si="37"/>
        <v>0</v>
      </c>
      <c r="F149" s="724">
        <f t="shared" si="37"/>
        <v>0</v>
      </c>
      <c r="G149" s="723">
        <f t="shared" si="37"/>
        <v>0</v>
      </c>
      <c r="H149" s="724">
        <f t="shared" si="37"/>
        <v>0</v>
      </c>
      <c r="I149" s="730">
        <f t="shared" si="34"/>
        <v>0</v>
      </c>
      <c r="J149" s="773" t="str">
        <f t="shared" si="35"/>
        <v/>
      </c>
      <c r="K149" s="725">
        <f t="shared" si="37"/>
        <v>0</v>
      </c>
    </row>
    <row r="150" spans="1:11" ht="11.25" hidden="1" customHeight="1" x14ac:dyDescent="0.25">
      <c r="A150" s="569" t="str">
        <f>'Org structure'!E146</f>
        <v>14.1 - [Name of sub-vote]</v>
      </c>
      <c r="B150" s="368"/>
      <c r="C150" s="726"/>
      <c r="D150" s="727"/>
      <c r="E150" s="728"/>
      <c r="F150" s="729"/>
      <c r="G150" s="728"/>
      <c r="H150" s="729"/>
      <c r="I150" s="730">
        <f t="shared" si="34"/>
        <v>0</v>
      </c>
      <c r="J150" s="773" t="str">
        <f t="shared" si="35"/>
        <v/>
      </c>
      <c r="K150" s="731"/>
    </row>
    <row r="151" spans="1:11" ht="11.25" hidden="1" customHeight="1" x14ac:dyDescent="0.25">
      <c r="A151" s="569">
        <f>'Org structure'!E147</f>
        <v>0</v>
      </c>
      <c r="B151" s="368"/>
      <c r="C151" s="726"/>
      <c r="D151" s="727"/>
      <c r="E151" s="728"/>
      <c r="F151" s="729"/>
      <c r="G151" s="728"/>
      <c r="H151" s="729"/>
      <c r="I151" s="730">
        <f t="shared" si="34"/>
        <v>0</v>
      </c>
      <c r="J151" s="773" t="str">
        <f t="shared" si="35"/>
        <v/>
      </c>
      <c r="K151" s="731"/>
    </row>
    <row r="152" spans="1:11" ht="11.25" hidden="1" customHeight="1" x14ac:dyDescent="0.25">
      <c r="A152" s="569">
        <f>'Org structure'!E148</f>
        <v>0</v>
      </c>
      <c r="B152" s="368"/>
      <c r="C152" s="726"/>
      <c r="D152" s="727"/>
      <c r="E152" s="728"/>
      <c r="F152" s="729"/>
      <c r="G152" s="728"/>
      <c r="H152" s="729"/>
      <c r="I152" s="730">
        <f t="shared" si="34"/>
        <v>0</v>
      </c>
      <c r="J152" s="773" t="str">
        <f t="shared" si="35"/>
        <v/>
      </c>
      <c r="K152" s="731"/>
    </row>
    <row r="153" spans="1:11" ht="11.25" hidden="1" customHeight="1" x14ac:dyDescent="0.25">
      <c r="A153" s="569">
        <f>'Org structure'!E149</f>
        <v>0</v>
      </c>
      <c r="B153" s="368"/>
      <c r="C153" s="726"/>
      <c r="D153" s="727"/>
      <c r="E153" s="728"/>
      <c r="F153" s="729"/>
      <c r="G153" s="728"/>
      <c r="H153" s="729"/>
      <c r="I153" s="730">
        <f t="shared" si="34"/>
        <v>0</v>
      </c>
      <c r="J153" s="773" t="str">
        <f t="shared" si="35"/>
        <v/>
      </c>
      <c r="K153" s="731"/>
    </row>
    <row r="154" spans="1:11" ht="11.25" hidden="1" customHeight="1" x14ac:dyDescent="0.25">
      <c r="A154" s="569">
        <f>'Org structure'!E150</f>
        <v>0</v>
      </c>
      <c r="B154" s="368"/>
      <c r="C154" s="726"/>
      <c r="D154" s="727"/>
      <c r="E154" s="728"/>
      <c r="F154" s="729"/>
      <c r="G154" s="728"/>
      <c r="H154" s="729"/>
      <c r="I154" s="730">
        <f t="shared" si="34"/>
        <v>0</v>
      </c>
      <c r="J154" s="773" t="str">
        <f t="shared" si="35"/>
        <v/>
      </c>
      <c r="K154" s="731"/>
    </row>
    <row r="155" spans="1:11" ht="11.25" hidden="1" customHeight="1" x14ac:dyDescent="0.25">
      <c r="A155" s="569">
        <f>'Org structure'!E151</f>
        <v>0</v>
      </c>
      <c r="B155" s="368"/>
      <c r="C155" s="726"/>
      <c r="D155" s="727"/>
      <c r="E155" s="728"/>
      <c r="F155" s="729"/>
      <c r="G155" s="728"/>
      <c r="H155" s="729"/>
      <c r="I155" s="730">
        <f t="shared" si="34"/>
        <v>0</v>
      </c>
      <c r="J155" s="773" t="str">
        <f t="shared" si="35"/>
        <v/>
      </c>
      <c r="K155" s="731"/>
    </row>
    <row r="156" spans="1:11" ht="11.25" hidden="1" customHeight="1" x14ac:dyDescent="0.25">
      <c r="A156" s="569">
        <f>'Org structure'!E152</f>
        <v>0</v>
      </c>
      <c r="B156" s="368"/>
      <c r="C156" s="726"/>
      <c r="D156" s="727"/>
      <c r="E156" s="728"/>
      <c r="F156" s="729"/>
      <c r="G156" s="728"/>
      <c r="H156" s="729"/>
      <c r="I156" s="730">
        <f t="shared" si="34"/>
        <v>0</v>
      </c>
      <c r="J156" s="773" t="str">
        <f t="shared" si="35"/>
        <v/>
      </c>
      <c r="K156" s="731"/>
    </row>
    <row r="157" spans="1:11" ht="11.25" hidden="1" customHeight="1" x14ac:dyDescent="0.25">
      <c r="A157" s="569">
        <f>'Org structure'!E153</f>
        <v>0</v>
      </c>
      <c r="B157" s="368"/>
      <c r="C157" s="726"/>
      <c r="D157" s="727"/>
      <c r="E157" s="728"/>
      <c r="F157" s="729"/>
      <c r="G157" s="728"/>
      <c r="H157" s="729"/>
      <c r="I157" s="730">
        <f t="shared" si="34"/>
        <v>0</v>
      </c>
      <c r="J157" s="773" t="str">
        <f t="shared" si="35"/>
        <v/>
      </c>
      <c r="K157" s="731"/>
    </row>
    <row r="158" spans="1:11" ht="11.25" hidden="1" customHeight="1" x14ac:dyDescent="0.25">
      <c r="A158" s="569">
        <f>'Org structure'!E154</f>
        <v>0</v>
      </c>
      <c r="B158" s="368"/>
      <c r="C158" s="726"/>
      <c r="D158" s="727"/>
      <c r="E158" s="728"/>
      <c r="F158" s="729"/>
      <c r="G158" s="728"/>
      <c r="H158" s="729"/>
      <c r="I158" s="730">
        <f t="shared" si="34"/>
        <v>0</v>
      </c>
      <c r="J158" s="773" t="str">
        <f t="shared" si="35"/>
        <v/>
      </c>
      <c r="K158" s="731"/>
    </row>
    <row r="159" spans="1:11" ht="11.25" hidden="1" customHeight="1" x14ac:dyDescent="0.25">
      <c r="A159" s="569">
        <f>'Org structure'!E155</f>
        <v>0</v>
      </c>
      <c r="B159" s="368"/>
      <c r="C159" s="726"/>
      <c r="D159" s="727"/>
      <c r="E159" s="728"/>
      <c r="F159" s="729"/>
      <c r="G159" s="728"/>
      <c r="H159" s="729"/>
      <c r="I159" s="730">
        <f t="shared" si="34"/>
        <v>0</v>
      </c>
      <c r="J159" s="773" t="str">
        <f t="shared" si="35"/>
        <v/>
      </c>
      <c r="K159" s="731"/>
    </row>
    <row r="160" spans="1:11" ht="11.25" hidden="1" customHeight="1" x14ac:dyDescent="0.25">
      <c r="A160" s="570" t="str">
        <f>'Org structure'!A16</f>
        <v>Vote 15 - [NAME OF VOTE 15]</v>
      </c>
      <c r="B160" s="368"/>
      <c r="C160" s="721">
        <f>SUM(C161:C170)</f>
        <v>0</v>
      </c>
      <c r="D160" s="722">
        <f t="shared" ref="D160:K160" si="38">SUM(D161:D170)</f>
        <v>0</v>
      </c>
      <c r="E160" s="723">
        <f t="shared" si="38"/>
        <v>0</v>
      </c>
      <c r="F160" s="724">
        <f t="shared" si="38"/>
        <v>0</v>
      </c>
      <c r="G160" s="723">
        <f t="shared" si="38"/>
        <v>0</v>
      </c>
      <c r="H160" s="724">
        <f t="shared" si="38"/>
        <v>0</v>
      </c>
      <c r="I160" s="730">
        <f t="shared" si="34"/>
        <v>0</v>
      </c>
      <c r="J160" s="773" t="str">
        <f t="shared" si="35"/>
        <v/>
      </c>
      <c r="K160" s="725">
        <f t="shared" si="38"/>
        <v>0</v>
      </c>
    </row>
    <row r="161" spans="1:11" ht="11.25" hidden="1" customHeight="1" x14ac:dyDescent="0.25">
      <c r="A161" s="569" t="str">
        <f>'Org structure'!E157</f>
        <v>15.1 - [Name of sub-vote]</v>
      </c>
      <c r="B161" s="368"/>
      <c r="C161" s="726"/>
      <c r="D161" s="727"/>
      <c r="E161" s="728"/>
      <c r="F161" s="729"/>
      <c r="G161" s="728"/>
      <c r="H161" s="729"/>
      <c r="I161" s="730">
        <f t="shared" si="34"/>
        <v>0</v>
      </c>
      <c r="J161" s="773" t="str">
        <f t="shared" si="35"/>
        <v/>
      </c>
      <c r="K161" s="731"/>
    </row>
    <row r="162" spans="1:11" ht="11.25" hidden="1" customHeight="1" x14ac:dyDescent="0.25">
      <c r="A162" s="569">
        <f>'Org structure'!E158</f>
        <v>0</v>
      </c>
      <c r="B162" s="368"/>
      <c r="C162" s="726"/>
      <c r="D162" s="727"/>
      <c r="E162" s="728"/>
      <c r="F162" s="729"/>
      <c r="G162" s="728"/>
      <c r="H162" s="729"/>
      <c r="I162" s="730">
        <f t="shared" si="34"/>
        <v>0</v>
      </c>
      <c r="J162" s="773" t="str">
        <f t="shared" si="35"/>
        <v/>
      </c>
      <c r="K162" s="731"/>
    </row>
    <row r="163" spans="1:11" ht="11.25" hidden="1" customHeight="1" x14ac:dyDescent="0.25">
      <c r="A163" s="569">
        <f>'Org structure'!E159</f>
        <v>0</v>
      </c>
      <c r="B163" s="368"/>
      <c r="C163" s="726"/>
      <c r="D163" s="727"/>
      <c r="E163" s="728"/>
      <c r="F163" s="729"/>
      <c r="G163" s="728"/>
      <c r="H163" s="729"/>
      <c r="I163" s="730">
        <f t="shared" si="34"/>
        <v>0</v>
      </c>
      <c r="J163" s="773" t="str">
        <f t="shared" si="35"/>
        <v/>
      </c>
      <c r="K163" s="731"/>
    </row>
    <row r="164" spans="1:11" ht="11.25" hidden="1" customHeight="1" x14ac:dyDescent="0.25">
      <c r="A164" s="569">
        <f>'Org structure'!E160</f>
        <v>0</v>
      </c>
      <c r="B164" s="368"/>
      <c r="C164" s="726"/>
      <c r="D164" s="727"/>
      <c r="E164" s="728"/>
      <c r="F164" s="729"/>
      <c r="G164" s="728"/>
      <c r="H164" s="729"/>
      <c r="I164" s="730">
        <f t="shared" si="34"/>
        <v>0</v>
      </c>
      <c r="J164" s="773" t="str">
        <f t="shared" si="35"/>
        <v/>
      </c>
      <c r="K164" s="731"/>
    </row>
    <row r="165" spans="1:11" ht="11.25" hidden="1" customHeight="1" x14ac:dyDescent="0.25">
      <c r="A165" s="569">
        <f>'Org structure'!E161</f>
        <v>0</v>
      </c>
      <c r="B165" s="368"/>
      <c r="C165" s="726"/>
      <c r="D165" s="727"/>
      <c r="E165" s="728"/>
      <c r="F165" s="729"/>
      <c r="G165" s="728"/>
      <c r="H165" s="729"/>
      <c r="I165" s="730">
        <f t="shared" si="34"/>
        <v>0</v>
      </c>
      <c r="J165" s="773" t="str">
        <f t="shared" si="35"/>
        <v/>
      </c>
      <c r="K165" s="731"/>
    </row>
    <row r="166" spans="1:11" ht="11.25" hidden="1" customHeight="1" x14ac:dyDescent="0.25">
      <c r="A166" s="569">
        <f>'Org structure'!E162</f>
        <v>0</v>
      </c>
      <c r="B166" s="368"/>
      <c r="C166" s="726"/>
      <c r="D166" s="727"/>
      <c r="E166" s="728"/>
      <c r="F166" s="729"/>
      <c r="G166" s="728"/>
      <c r="H166" s="729"/>
      <c r="I166" s="730">
        <f t="shared" si="34"/>
        <v>0</v>
      </c>
      <c r="J166" s="773" t="str">
        <f t="shared" si="35"/>
        <v/>
      </c>
      <c r="K166" s="731"/>
    </row>
    <row r="167" spans="1:11" ht="11.25" hidden="1" customHeight="1" x14ac:dyDescent="0.25">
      <c r="A167" s="569">
        <f>'Org structure'!E163</f>
        <v>0</v>
      </c>
      <c r="B167" s="368"/>
      <c r="C167" s="726"/>
      <c r="D167" s="727"/>
      <c r="E167" s="728"/>
      <c r="F167" s="729"/>
      <c r="G167" s="728"/>
      <c r="H167" s="729"/>
      <c r="I167" s="730">
        <f t="shared" si="34"/>
        <v>0</v>
      </c>
      <c r="J167" s="773" t="str">
        <f t="shared" si="35"/>
        <v/>
      </c>
      <c r="K167" s="731"/>
    </row>
    <row r="168" spans="1:11" ht="11.25" hidden="1" customHeight="1" x14ac:dyDescent="0.25">
      <c r="A168" s="569">
        <f>'Org structure'!E164</f>
        <v>0</v>
      </c>
      <c r="B168" s="368"/>
      <c r="C168" s="726"/>
      <c r="D168" s="727"/>
      <c r="E168" s="728"/>
      <c r="F168" s="729"/>
      <c r="G168" s="728"/>
      <c r="H168" s="729"/>
      <c r="I168" s="730">
        <f t="shared" si="34"/>
        <v>0</v>
      </c>
      <c r="J168" s="773" t="str">
        <f t="shared" si="35"/>
        <v/>
      </c>
      <c r="K168" s="731"/>
    </row>
    <row r="169" spans="1:11" ht="11.25" hidden="1" customHeight="1" x14ac:dyDescent="0.25">
      <c r="A169" s="569">
        <f>'Org structure'!E165</f>
        <v>0</v>
      </c>
      <c r="B169" s="368"/>
      <c r="C169" s="726"/>
      <c r="D169" s="727"/>
      <c r="E169" s="728"/>
      <c r="F169" s="729"/>
      <c r="G169" s="728"/>
      <c r="H169" s="729"/>
      <c r="I169" s="730">
        <f t="shared" si="34"/>
        <v>0</v>
      </c>
      <c r="J169" s="773" t="str">
        <f t="shared" si="35"/>
        <v/>
      </c>
      <c r="K169" s="731"/>
    </row>
    <row r="170" spans="1:11" ht="11.25" hidden="1" customHeight="1" x14ac:dyDescent="0.25">
      <c r="A170" s="569">
        <f>'Org structure'!E166</f>
        <v>0</v>
      </c>
      <c r="B170" s="368"/>
      <c r="C170" s="726"/>
      <c r="D170" s="727"/>
      <c r="E170" s="728"/>
      <c r="F170" s="729"/>
      <c r="G170" s="728"/>
      <c r="H170" s="729"/>
      <c r="I170" s="730">
        <f t="shared" si="34"/>
        <v>0</v>
      </c>
      <c r="J170" s="773" t="str">
        <f t="shared" si="35"/>
        <v/>
      </c>
      <c r="K170" s="731"/>
    </row>
    <row r="171" spans="1:11" ht="12.75" customHeight="1" x14ac:dyDescent="0.25">
      <c r="A171" s="38" t="s">
        <v>646</v>
      </c>
      <c r="B171" s="346">
        <v>2</v>
      </c>
      <c r="C171" s="733">
        <f>C6+C17+C28+C39+C50+C61+C72+C83+C94+C105+C116+C127+C138+C149+C160</f>
        <v>1059522696.71</v>
      </c>
      <c r="D171" s="734">
        <f t="shared" ref="D171:K171" si="39">D6+D17+D28+D39+D50+D61+D72+D83+D94+D105+D116+D127+D138+D149+D160</f>
        <v>1135219047</v>
      </c>
      <c r="E171" s="735">
        <f t="shared" si="39"/>
        <v>1177436445</v>
      </c>
      <c r="F171" s="736">
        <f t="shared" si="39"/>
        <v>81176307.640000001</v>
      </c>
      <c r="G171" s="735">
        <f t="shared" si="39"/>
        <v>962534729.49000001</v>
      </c>
      <c r="H171" s="736">
        <f t="shared" si="39"/>
        <v>1177436445</v>
      </c>
      <c r="I171" s="737">
        <f t="shared" si="34"/>
        <v>-214901715.50999999</v>
      </c>
      <c r="J171" s="774">
        <f t="shared" si="35"/>
        <v>-0.18251661601149097</v>
      </c>
      <c r="K171" s="738">
        <f t="shared" si="39"/>
        <v>1177436445</v>
      </c>
    </row>
    <row r="172" spans="1:11" ht="3" customHeight="1" x14ac:dyDescent="0.25">
      <c r="A172" s="80"/>
      <c r="B172" s="353"/>
      <c r="C172" s="739"/>
      <c r="D172" s="740"/>
      <c r="E172" s="741"/>
      <c r="F172" s="742"/>
      <c r="G172" s="741"/>
      <c r="H172" s="742"/>
      <c r="I172" s="741">
        <f t="shared" si="34"/>
        <v>0</v>
      </c>
      <c r="J172" s="775" t="str">
        <f t="shared" si="35"/>
        <v/>
      </c>
      <c r="K172" s="743"/>
    </row>
    <row r="173" spans="1:11" ht="11.25" customHeight="1" x14ac:dyDescent="0.25">
      <c r="A173" s="149" t="s">
        <v>763</v>
      </c>
      <c r="B173" s="375">
        <v>1</v>
      </c>
      <c r="C173" s="744"/>
      <c r="D173" s="745"/>
      <c r="E173" s="746"/>
      <c r="F173" s="747"/>
      <c r="G173" s="746"/>
      <c r="H173" s="747"/>
      <c r="I173" s="730">
        <f t="shared" si="34"/>
        <v>0</v>
      </c>
      <c r="J173" s="773" t="str">
        <f t="shared" si="35"/>
        <v/>
      </c>
      <c r="K173" s="748"/>
    </row>
    <row r="174" spans="1:11" s="57" customFormat="1" ht="11.25" customHeight="1" x14ac:dyDescent="0.25">
      <c r="A174" s="88" t="str">
        <f>'Org structure'!A2</f>
        <v>Vote 1 - Council General</v>
      </c>
      <c r="B174" s="201"/>
      <c r="C174" s="721">
        <f t="shared" ref="C174:K174" si="40">SUM(C175:C184)</f>
        <v>35135228.299999997</v>
      </c>
      <c r="D174" s="722">
        <f t="shared" si="40"/>
        <v>34745215</v>
      </c>
      <c r="E174" s="723">
        <f t="shared" si="40"/>
        <v>33192346</v>
      </c>
      <c r="F174" s="724">
        <f t="shared" si="40"/>
        <v>2450967.19</v>
      </c>
      <c r="G174" s="723">
        <f t="shared" si="40"/>
        <v>28604754.020000003</v>
      </c>
      <c r="H174" s="724">
        <f t="shared" si="40"/>
        <v>33192346</v>
      </c>
      <c r="I174" s="723">
        <f t="shared" si="34"/>
        <v>-4587591.9799999967</v>
      </c>
      <c r="J174" s="772">
        <f t="shared" si="35"/>
        <v>-0.13821234509907787</v>
      </c>
      <c r="K174" s="725">
        <f t="shared" si="40"/>
        <v>33192346</v>
      </c>
    </row>
    <row r="175" spans="1:11" ht="11.25" customHeight="1" x14ac:dyDescent="0.25">
      <c r="A175" s="36" t="str">
        <f>'Org structure'!E3</f>
        <v>1.1 - Admin</v>
      </c>
      <c r="B175" s="368"/>
      <c r="C175" s="726">
        <v>24208467.789999999</v>
      </c>
      <c r="D175" s="727">
        <v>22988307</v>
      </c>
      <c r="E175" s="728">
        <v>20028448</v>
      </c>
      <c r="F175" s="926">
        <v>1477653.3999999997</v>
      </c>
      <c r="G175" s="925">
        <v>16313755.490000004</v>
      </c>
      <c r="H175" s="729">
        <f>E175/12*$L$1</f>
        <v>20028448</v>
      </c>
      <c r="I175" s="730">
        <f t="shared" si="34"/>
        <v>-3714692.5099999961</v>
      </c>
      <c r="J175" s="773">
        <f t="shared" si="35"/>
        <v>-0.1854708118172709</v>
      </c>
      <c r="K175" s="731">
        <f>E175</f>
        <v>20028448</v>
      </c>
    </row>
    <row r="176" spans="1:11" ht="11.25" customHeight="1" x14ac:dyDescent="0.25">
      <c r="A176" s="36" t="str">
        <f>'Org structure'!E4</f>
        <v>1.2 - Mayoral Office</v>
      </c>
      <c r="B176" s="368"/>
      <c r="C176" s="726">
        <v>10926760.509999998</v>
      </c>
      <c r="D176" s="727">
        <v>11756908</v>
      </c>
      <c r="E176" s="728">
        <v>13163898</v>
      </c>
      <c r="F176" s="926">
        <v>973313.79000000015</v>
      </c>
      <c r="G176" s="925">
        <v>12290998.530000001</v>
      </c>
      <c r="H176" s="729">
        <f>E176/12*$L$1</f>
        <v>13163898</v>
      </c>
      <c r="I176" s="730">
        <f t="shared" si="34"/>
        <v>-872899.46999999881</v>
      </c>
      <c r="J176" s="773">
        <f t="shared" si="35"/>
        <v>-6.6310105866818389E-2</v>
      </c>
      <c r="K176" s="731">
        <f>E176</f>
        <v>13163898</v>
      </c>
    </row>
    <row r="177" spans="1:11" ht="11.25" customHeight="1" x14ac:dyDescent="0.25">
      <c r="A177" s="36">
        <f>'Org structure'!E5</f>
        <v>0</v>
      </c>
      <c r="B177" s="368"/>
      <c r="C177" s="726"/>
      <c r="D177" s="727"/>
      <c r="E177" s="728"/>
      <c r="F177" s="729"/>
      <c r="G177" s="728"/>
      <c r="H177" s="729"/>
      <c r="I177" s="730">
        <f t="shared" si="34"/>
        <v>0</v>
      </c>
      <c r="J177" s="773" t="str">
        <f t="shared" si="35"/>
        <v/>
      </c>
      <c r="K177" s="731"/>
    </row>
    <row r="178" spans="1:11" ht="11.25" customHeight="1" x14ac:dyDescent="0.25">
      <c r="A178" s="36">
        <f>'Org structure'!E6</f>
        <v>0</v>
      </c>
      <c r="B178" s="368"/>
      <c r="C178" s="726"/>
      <c r="D178" s="727"/>
      <c r="E178" s="728"/>
      <c r="F178" s="729"/>
      <c r="G178" s="728"/>
      <c r="H178" s="729"/>
      <c r="I178" s="730">
        <f t="shared" si="34"/>
        <v>0</v>
      </c>
      <c r="J178" s="773" t="str">
        <f t="shared" si="35"/>
        <v/>
      </c>
      <c r="K178" s="731"/>
    </row>
    <row r="179" spans="1:11" ht="11.25" customHeight="1" x14ac:dyDescent="0.25">
      <c r="A179" s="36">
        <f>'Org structure'!E7</f>
        <v>0</v>
      </c>
      <c r="B179" s="368"/>
      <c r="C179" s="726"/>
      <c r="D179" s="727"/>
      <c r="E179" s="728"/>
      <c r="F179" s="729"/>
      <c r="G179" s="728"/>
      <c r="H179" s="729"/>
      <c r="I179" s="730">
        <f t="shared" si="34"/>
        <v>0</v>
      </c>
      <c r="J179" s="773" t="str">
        <f t="shared" si="35"/>
        <v/>
      </c>
      <c r="K179" s="731"/>
    </row>
    <row r="180" spans="1:11" ht="11.25" customHeight="1" x14ac:dyDescent="0.25">
      <c r="A180" s="36">
        <f>'Org structure'!E8</f>
        <v>0</v>
      </c>
      <c r="B180" s="368"/>
      <c r="C180" s="726"/>
      <c r="D180" s="727"/>
      <c r="E180" s="728"/>
      <c r="F180" s="729"/>
      <c r="G180" s="728"/>
      <c r="H180" s="729"/>
      <c r="I180" s="730">
        <f t="shared" si="34"/>
        <v>0</v>
      </c>
      <c r="J180" s="773" t="str">
        <f t="shared" si="35"/>
        <v/>
      </c>
      <c r="K180" s="731"/>
    </row>
    <row r="181" spans="1:11" ht="11.25" customHeight="1" x14ac:dyDescent="0.25">
      <c r="A181" s="36">
        <f>'Org structure'!E9</f>
        <v>0</v>
      </c>
      <c r="B181" s="368"/>
      <c r="C181" s="726"/>
      <c r="D181" s="727"/>
      <c r="E181" s="728"/>
      <c r="F181" s="729"/>
      <c r="G181" s="728"/>
      <c r="H181" s="729"/>
      <c r="I181" s="730">
        <f t="shared" si="34"/>
        <v>0</v>
      </c>
      <c r="J181" s="773" t="str">
        <f t="shared" si="35"/>
        <v/>
      </c>
      <c r="K181" s="731"/>
    </row>
    <row r="182" spans="1:11" ht="11.25" customHeight="1" x14ac:dyDescent="0.25">
      <c r="A182" s="36">
        <f>'Org structure'!E10</f>
        <v>0</v>
      </c>
      <c r="B182" s="368"/>
      <c r="C182" s="726"/>
      <c r="D182" s="727"/>
      <c r="E182" s="728"/>
      <c r="F182" s="729"/>
      <c r="G182" s="728"/>
      <c r="H182" s="729"/>
      <c r="I182" s="730">
        <f t="shared" si="34"/>
        <v>0</v>
      </c>
      <c r="J182" s="773" t="str">
        <f t="shared" si="35"/>
        <v/>
      </c>
      <c r="K182" s="731"/>
    </row>
    <row r="183" spans="1:11" ht="11.25" customHeight="1" x14ac:dyDescent="0.25">
      <c r="A183" s="36">
        <f>'Org structure'!E11</f>
        <v>0</v>
      </c>
      <c r="B183" s="368"/>
      <c r="C183" s="726"/>
      <c r="D183" s="727"/>
      <c r="E183" s="728"/>
      <c r="F183" s="729"/>
      <c r="G183" s="728"/>
      <c r="H183" s="729"/>
      <c r="I183" s="730">
        <f t="shared" si="34"/>
        <v>0</v>
      </c>
      <c r="J183" s="773" t="str">
        <f t="shared" si="35"/>
        <v/>
      </c>
      <c r="K183" s="731"/>
    </row>
    <row r="184" spans="1:11" ht="11.25" customHeight="1" x14ac:dyDescent="0.25">
      <c r="A184" s="36">
        <f>'Org structure'!E12</f>
        <v>0</v>
      </c>
      <c r="B184" s="368"/>
      <c r="C184" s="726"/>
      <c r="D184" s="727"/>
      <c r="E184" s="728"/>
      <c r="F184" s="729"/>
      <c r="G184" s="728"/>
      <c r="H184" s="729"/>
      <c r="I184" s="730">
        <f t="shared" si="34"/>
        <v>0</v>
      </c>
      <c r="J184" s="773" t="str">
        <f t="shared" si="35"/>
        <v/>
      </c>
      <c r="K184" s="731"/>
    </row>
    <row r="185" spans="1:11" s="57" customFormat="1" ht="11.25" customHeight="1" x14ac:dyDescent="0.25">
      <c r="A185" s="88" t="str">
        <f>'Org structure'!A3</f>
        <v>Vote 2 - Municipal Manager</v>
      </c>
      <c r="B185" s="363"/>
      <c r="C185" s="721">
        <f>SUM(C186:C195)</f>
        <v>8798641.9699999988</v>
      </c>
      <c r="D185" s="722">
        <f>SUM(D186:D195)</f>
        <v>9825686</v>
      </c>
      <c r="E185" s="723">
        <f t="shared" ref="E185:K185" si="41">SUM(E186:E195)</f>
        <v>9748308</v>
      </c>
      <c r="F185" s="724">
        <f t="shared" si="41"/>
        <v>957415.37999999989</v>
      </c>
      <c r="G185" s="723">
        <f t="shared" si="41"/>
        <v>8872623.6500000004</v>
      </c>
      <c r="H185" s="724">
        <f t="shared" si="41"/>
        <v>9748308</v>
      </c>
      <c r="I185" s="723">
        <f t="shared" si="34"/>
        <v>-875684.34999999963</v>
      </c>
      <c r="J185" s="772">
        <f t="shared" si="35"/>
        <v>-8.9829368337561721E-2</v>
      </c>
      <c r="K185" s="725">
        <f t="shared" si="41"/>
        <v>9748308</v>
      </c>
    </row>
    <row r="186" spans="1:11" ht="11.25" customHeight="1" x14ac:dyDescent="0.25">
      <c r="A186" s="36" t="str">
        <f>'Org structure'!E14</f>
        <v>2.1 - Office Support</v>
      </c>
      <c r="B186" s="368"/>
      <c r="C186" s="726">
        <v>3583665.52</v>
      </c>
      <c r="D186" s="727">
        <v>2814457</v>
      </c>
      <c r="E186" s="728">
        <v>3839684</v>
      </c>
      <c r="F186" s="928">
        <v>247324.59</v>
      </c>
      <c r="G186" s="927">
        <v>2741507.2299999995</v>
      </c>
      <c r="H186" s="729">
        <f t="shared" ref="H186:H191" si="42">E186/12*$L$1</f>
        <v>3839684</v>
      </c>
      <c r="I186" s="730">
        <f t="shared" si="34"/>
        <v>-1098176.7700000005</v>
      </c>
      <c r="J186" s="773">
        <f t="shared" si="35"/>
        <v>-0.28600706985262342</v>
      </c>
      <c r="K186" s="731">
        <f t="shared" ref="K186:K191" si="43">E186</f>
        <v>3839684</v>
      </c>
    </row>
    <row r="187" spans="1:11" ht="11.25" customHeight="1" x14ac:dyDescent="0.25">
      <c r="A187" s="36" t="str">
        <f>'Org structure'!E15</f>
        <v>2.2 - Internal Audit</v>
      </c>
      <c r="B187" s="368"/>
      <c r="C187" s="726">
        <v>2677470.1500000004</v>
      </c>
      <c r="D187" s="727">
        <v>3791347</v>
      </c>
      <c r="E187" s="728">
        <v>3060147</v>
      </c>
      <c r="F187" s="928">
        <v>279834.86</v>
      </c>
      <c r="G187" s="927">
        <v>3016799.23</v>
      </c>
      <c r="H187" s="729">
        <f t="shared" si="42"/>
        <v>3060147</v>
      </c>
      <c r="I187" s="730">
        <f t="shared" si="34"/>
        <v>-43347.770000000019</v>
      </c>
      <c r="J187" s="773">
        <f t="shared" si="35"/>
        <v>-1.4165257420640256E-2</v>
      </c>
      <c r="K187" s="731">
        <f t="shared" si="43"/>
        <v>3060147</v>
      </c>
    </row>
    <row r="188" spans="1:11" ht="11.25" customHeight="1" x14ac:dyDescent="0.25">
      <c r="A188" s="36" t="str">
        <f>'Org structure'!E16</f>
        <v>2.3 - Project Management</v>
      </c>
      <c r="B188" s="368"/>
      <c r="C188" s="726">
        <v>1240756.1399999997</v>
      </c>
      <c r="D188" s="727">
        <v>1039670</v>
      </c>
      <c r="E188" s="728">
        <v>1048741</v>
      </c>
      <c r="F188" s="928">
        <v>333786.90999999997</v>
      </c>
      <c r="G188" s="927">
        <v>1685712.98</v>
      </c>
      <c r="H188" s="729">
        <f t="shared" si="42"/>
        <v>1048741</v>
      </c>
      <c r="I188" s="730">
        <f t="shared" si="34"/>
        <v>636971.98</v>
      </c>
      <c r="J188" s="773">
        <f t="shared" si="35"/>
        <v>0.6073682443997136</v>
      </c>
      <c r="K188" s="731">
        <f t="shared" si="43"/>
        <v>1048741</v>
      </c>
    </row>
    <row r="189" spans="1:11" ht="11.25" customHeight="1" x14ac:dyDescent="0.25">
      <c r="A189" s="36" t="str">
        <f>'Org structure'!E17</f>
        <v>2.4 - Ombudsman</v>
      </c>
      <c r="B189" s="368"/>
      <c r="C189" s="726">
        <v>680.83</v>
      </c>
      <c r="D189" s="727">
        <v>14973</v>
      </c>
      <c r="E189" s="728">
        <v>508</v>
      </c>
      <c r="F189" s="928">
        <v>39.36</v>
      </c>
      <c r="G189" s="927">
        <v>432.18</v>
      </c>
      <c r="H189" s="729">
        <f t="shared" si="42"/>
        <v>508</v>
      </c>
      <c r="I189" s="730">
        <f t="shared" si="34"/>
        <v>-75.819999999999993</v>
      </c>
      <c r="J189" s="773">
        <f t="shared" si="35"/>
        <v>-0.14925196850393699</v>
      </c>
      <c r="K189" s="731">
        <f t="shared" si="43"/>
        <v>508</v>
      </c>
    </row>
    <row r="190" spans="1:11" ht="11.25" customHeight="1" x14ac:dyDescent="0.25">
      <c r="A190" s="36" t="str">
        <f>'Org structure'!E18</f>
        <v>2.5 - Enterprise Risk Management</v>
      </c>
      <c r="B190" s="368"/>
      <c r="C190" s="726">
        <v>1277849.47</v>
      </c>
      <c r="D190" s="727">
        <v>2032887</v>
      </c>
      <c r="E190" s="728">
        <v>1706838</v>
      </c>
      <c r="F190" s="928">
        <v>94787.02</v>
      </c>
      <c r="G190" s="927">
        <v>1409128.3100000003</v>
      </c>
      <c r="H190" s="729">
        <f t="shared" si="42"/>
        <v>1706838</v>
      </c>
      <c r="I190" s="730">
        <f t="shared" si="34"/>
        <v>-297709.68999999971</v>
      </c>
      <c r="J190" s="773">
        <f t="shared" si="35"/>
        <v>-0.17442176117475688</v>
      </c>
      <c r="K190" s="731">
        <f t="shared" si="43"/>
        <v>1706838</v>
      </c>
    </row>
    <row r="191" spans="1:11" ht="11.25" customHeight="1" x14ac:dyDescent="0.25">
      <c r="A191" s="36" t="str">
        <f>'Org structure'!E19</f>
        <v>2.6 - Jobs4U</v>
      </c>
      <c r="B191" s="368"/>
      <c r="C191" s="726">
        <v>18219.86</v>
      </c>
      <c r="D191" s="727">
        <v>132352</v>
      </c>
      <c r="E191" s="728">
        <v>92390</v>
      </c>
      <c r="F191" s="928">
        <v>1642.6399999999999</v>
      </c>
      <c r="G191" s="927">
        <v>19043.72</v>
      </c>
      <c r="H191" s="729">
        <f t="shared" si="42"/>
        <v>92390</v>
      </c>
      <c r="I191" s="730">
        <f t="shared" si="34"/>
        <v>-73346.28</v>
      </c>
      <c r="J191" s="773">
        <f t="shared" si="35"/>
        <v>-0.79387682649637403</v>
      </c>
      <c r="K191" s="731">
        <f t="shared" si="43"/>
        <v>92390</v>
      </c>
    </row>
    <row r="192" spans="1:11" ht="11.25" customHeight="1" x14ac:dyDescent="0.25">
      <c r="A192" s="36">
        <f>'Org structure'!E20</f>
        <v>0</v>
      </c>
      <c r="B192" s="368"/>
      <c r="C192" s="726"/>
      <c r="D192" s="727"/>
      <c r="E192" s="728"/>
      <c r="F192" s="729"/>
      <c r="G192" s="728"/>
      <c r="H192" s="729"/>
      <c r="I192" s="730">
        <f t="shared" si="34"/>
        <v>0</v>
      </c>
      <c r="J192" s="773" t="str">
        <f t="shared" si="35"/>
        <v/>
      </c>
      <c r="K192" s="731"/>
    </row>
    <row r="193" spans="1:11" ht="11.25" customHeight="1" x14ac:dyDescent="0.25">
      <c r="A193" s="36">
        <f>'Org structure'!E21</f>
        <v>0</v>
      </c>
      <c r="B193" s="368"/>
      <c r="C193" s="726"/>
      <c r="D193" s="727"/>
      <c r="E193" s="728"/>
      <c r="F193" s="729"/>
      <c r="G193" s="728"/>
      <c r="H193" s="729"/>
      <c r="I193" s="730">
        <f t="shared" si="34"/>
        <v>0</v>
      </c>
      <c r="J193" s="773" t="str">
        <f t="shared" si="35"/>
        <v/>
      </c>
      <c r="K193" s="731"/>
    </row>
    <row r="194" spans="1:11" ht="11.25" customHeight="1" x14ac:dyDescent="0.25">
      <c r="A194" s="36">
        <f>'Org structure'!E22</f>
        <v>0</v>
      </c>
      <c r="B194" s="368"/>
      <c r="C194" s="726"/>
      <c r="D194" s="727"/>
      <c r="E194" s="728"/>
      <c r="F194" s="729"/>
      <c r="G194" s="728"/>
      <c r="H194" s="729"/>
      <c r="I194" s="730">
        <f t="shared" si="34"/>
        <v>0</v>
      </c>
      <c r="J194" s="773" t="str">
        <f t="shared" si="35"/>
        <v/>
      </c>
      <c r="K194" s="731"/>
    </row>
    <row r="195" spans="1:11" ht="11.25" customHeight="1" x14ac:dyDescent="0.25">
      <c r="A195" s="36">
        <f>'Org structure'!E23</f>
        <v>0</v>
      </c>
      <c r="B195" s="368"/>
      <c r="C195" s="726"/>
      <c r="D195" s="727"/>
      <c r="E195" s="728"/>
      <c r="F195" s="729"/>
      <c r="G195" s="728"/>
      <c r="H195" s="729"/>
      <c r="I195" s="730">
        <f t="shared" si="34"/>
        <v>0</v>
      </c>
      <c r="J195" s="773" t="str">
        <f t="shared" si="35"/>
        <v/>
      </c>
      <c r="K195" s="731"/>
    </row>
    <row r="196" spans="1:11" s="57" customFormat="1" ht="11.25" customHeight="1" x14ac:dyDescent="0.25">
      <c r="A196" s="88" t="str">
        <f>'Org structure'!A4</f>
        <v>Vote 3 - Strategic Support Services</v>
      </c>
      <c r="B196" s="363"/>
      <c r="C196" s="721">
        <f t="shared" ref="C196:K196" si="44">SUM(C197:C206)</f>
        <v>51388244.109999999</v>
      </c>
      <c r="D196" s="722">
        <f t="shared" si="44"/>
        <v>56733995</v>
      </c>
      <c r="E196" s="723">
        <f t="shared" si="44"/>
        <v>59415719</v>
      </c>
      <c r="F196" s="724">
        <f t="shared" si="44"/>
        <v>5630894.8399999989</v>
      </c>
      <c r="G196" s="723">
        <f t="shared" si="44"/>
        <v>54389995.989999995</v>
      </c>
      <c r="H196" s="724">
        <f t="shared" si="44"/>
        <v>59415719</v>
      </c>
      <c r="I196" s="723">
        <f t="shared" si="34"/>
        <v>-5025723.0100000054</v>
      </c>
      <c r="J196" s="772">
        <f t="shared" si="35"/>
        <v>-8.4585747586425827E-2</v>
      </c>
      <c r="K196" s="725">
        <f t="shared" si="44"/>
        <v>59415719</v>
      </c>
    </row>
    <row r="197" spans="1:11" ht="11.25" customHeight="1" x14ac:dyDescent="0.25">
      <c r="A197" s="36" t="str">
        <f>'Org structure'!E25</f>
        <v>3.1 - Administration &amp; Support Services</v>
      </c>
      <c r="B197" s="368"/>
      <c r="C197" s="726">
        <v>20207022.389999997</v>
      </c>
      <c r="D197" s="727">
        <v>23101507</v>
      </c>
      <c r="E197" s="728">
        <v>22256560</v>
      </c>
      <c r="F197" s="932">
        <v>2640627.86</v>
      </c>
      <c r="G197" s="931">
        <v>21692312.519999996</v>
      </c>
      <c r="H197" s="729">
        <f t="shared" ref="H197:H203" si="45">E197/12*$L$1</f>
        <v>22256560</v>
      </c>
      <c r="I197" s="730">
        <f t="shared" si="34"/>
        <v>-564247.48000000417</v>
      </c>
      <c r="J197" s="773">
        <f t="shared" si="35"/>
        <v>-2.5351962747163271E-2</v>
      </c>
      <c r="K197" s="731">
        <f t="shared" ref="K197:K203" si="46">E197</f>
        <v>22256560</v>
      </c>
    </row>
    <row r="198" spans="1:11" ht="11.25" customHeight="1" x14ac:dyDescent="0.25">
      <c r="A198" s="36" t="str">
        <f>'Org structure'!E26</f>
        <v>3.2 - Human Resources</v>
      </c>
      <c r="B198" s="368"/>
      <c r="C198" s="726">
        <v>10699448.43</v>
      </c>
      <c r="D198" s="727">
        <v>9825705</v>
      </c>
      <c r="E198" s="728">
        <v>12224653</v>
      </c>
      <c r="F198" s="932">
        <v>1139821.07</v>
      </c>
      <c r="G198" s="931">
        <v>12677137.079999998</v>
      </c>
      <c r="H198" s="729">
        <f t="shared" si="45"/>
        <v>12224653</v>
      </c>
      <c r="I198" s="730">
        <f t="shared" ref="I198:I203" si="47">G198-H198</f>
        <v>452484.07999999821</v>
      </c>
      <c r="J198" s="773">
        <f t="shared" ref="J198:J203" si="48">IF(I198=0,"",I198/H198)</f>
        <v>3.7014063303064573E-2</v>
      </c>
      <c r="K198" s="731">
        <f t="shared" si="46"/>
        <v>12224653</v>
      </c>
    </row>
    <row r="199" spans="1:11" ht="11.25" customHeight="1" x14ac:dyDescent="0.25">
      <c r="A199" s="36" t="str">
        <f>'Org structure'!E27</f>
        <v>3.3 - Information Communication Technology</v>
      </c>
      <c r="B199" s="368"/>
      <c r="C199" s="726">
        <v>8386705.4099999992</v>
      </c>
      <c r="D199" s="727">
        <v>10755116</v>
      </c>
      <c r="E199" s="728">
        <v>9552640</v>
      </c>
      <c r="F199" s="932">
        <v>969692.33999999985</v>
      </c>
      <c r="G199" s="931">
        <v>9028607.4199999981</v>
      </c>
      <c r="H199" s="729">
        <f t="shared" si="45"/>
        <v>9552640</v>
      </c>
      <c r="I199" s="730">
        <f t="shared" si="47"/>
        <v>-524032.58000000194</v>
      </c>
      <c r="J199" s="773">
        <f t="shared" si="48"/>
        <v>-5.4857356709768393E-2</v>
      </c>
      <c r="K199" s="731">
        <f t="shared" si="46"/>
        <v>9552640</v>
      </c>
    </row>
    <row r="200" spans="1:11" ht="11.25" customHeight="1" x14ac:dyDescent="0.25">
      <c r="A200" s="36" t="str">
        <f>'Org structure'!E28</f>
        <v>3.4 - IDP/ PMS/ SDBIP</v>
      </c>
      <c r="B200" s="368"/>
      <c r="C200" s="726">
        <v>1966022.17</v>
      </c>
      <c r="D200" s="727">
        <v>2260954</v>
      </c>
      <c r="E200" s="728">
        <v>1973254</v>
      </c>
      <c r="F200" s="932">
        <v>269714.51999999996</v>
      </c>
      <c r="G200" s="931">
        <v>2006811.54</v>
      </c>
      <c r="H200" s="729">
        <f t="shared" si="45"/>
        <v>1973254</v>
      </c>
      <c r="I200" s="730">
        <f t="shared" si="47"/>
        <v>33557.540000000037</v>
      </c>
      <c r="J200" s="773">
        <f t="shared" si="48"/>
        <v>1.7006193830089809E-2</v>
      </c>
      <c r="K200" s="731">
        <f t="shared" si="46"/>
        <v>1973254</v>
      </c>
    </row>
    <row r="201" spans="1:11" ht="11.25" customHeight="1" x14ac:dyDescent="0.25">
      <c r="A201" s="36" t="str">
        <f>'Org structure'!E29</f>
        <v>3.5 - Communications &amp; Media Relations</v>
      </c>
      <c r="B201" s="368"/>
      <c r="C201" s="726">
        <v>1616479.7899999996</v>
      </c>
      <c r="D201" s="727">
        <v>2519934</v>
      </c>
      <c r="E201" s="728">
        <v>2217432</v>
      </c>
      <c r="F201" s="930">
        <v>190180.74</v>
      </c>
      <c r="G201" s="929">
        <v>2157966.9899999998</v>
      </c>
      <c r="H201" s="729">
        <f t="shared" si="45"/>
        <v>2217432</v>
      </c>
      <c r="I201" s="730">
        <f t="shared" si="47"/>
        <v>-59465.010000000242</v>
      </c>
      <c r="J201" s="773">
        <f t="shared" si="48"/>
        <v>-2.6817061357462254E-2</v>
      </c>
      <c r="K201" s="731">
        <f t="shared" si="46"/>
        <v>2217432</v>
      </c>
    </row>
    <row r="202" spans="1:11" ht="11.25" customHeight="1" x14ac:dyDescent="0.25">
      <c r="A202" s="36" t="str">
        <f>'Org structure'!E30</f>
        <v>3.6 - Local Economic Development</v>
      </c>
      <c r="B202" s="368"/>
      <c r="C202" s="726">
        <v>4720173.45</v>
      </c>
      <c r="D202" s="727">
        <v>4284984</v>
      </c>
      <c r="E202" s="728">
        <v>7714216</v>
      </c>
      <c r="F202" s="930">
        <v>280716.91999999993</v>
      </c>
      <c r="G202" s="929">
        <v>4033827.6100000003</v>
      </c>
      <c r="H202" s="729">
        <f t="shared" si="45"/>
        <v>7714216</v>
      </c>
      <c r="I202" s="730">
        <f t="shared" si="47"/>
        <v>-3680388.3899999997</v>
      </c>
      <c r="J202" s="773">
        <f t="shared" si="48"/>
        <v>-0.47709169538421009</v>
      </c>
      <c r="K202" s="731">
        <f t="shared" si="46"/>
        <v>7714216</v>
      </c>
    </row>
    <row r="203" spans="1:11" ht="11.25" customHeight="1" x14ac:dyDescent="0.25">
      <c r="A203" s="36" t="str">
        <f>'Org structure'!E31</f>
        <v>3.7 - Legal Services</v>
      </c>
      <c r="B203" s="368"/>
      <c r="C203" s="726">
        <v>3792392.47</v>
      </c>
      <c r="D203" s="727">
        <v>3985795</v>
      </c>
      <c r="E203" s="728">
        <v>3476964</v>
      </c>
      <c r="F203" s="930">
        <v>140141.39000000001</v>
      </c>
      <c r="G203" s="929">
        <v>2793332.83</v>
      </c>
      <c r="H203" s="729">
        <f t="shared" si="45"/>
        <v>3476964</v>
      </c>
      <c r="I203" s="730">
        <f t="shared" si="47"/>
        <v>-683631.16999999993</v>
      </c>
      <c r="J203" s="773">
        <f t="shared" si="48"/>
        <v>-0.19661727012416577</v>
      </c>
      <c r="K203" s="731">
        <f t="shared" si="46"/>
        <v>3476964</v>
      </c>
    </row>
    <row r="204" spans="1:11" ht="11.25" customHeight="1" x14ac:dyDescent="0.25">
      <c r="A204" s="36">
        <f>'Org structure'!E32</f>
        <v>0</v>
      </c>
      <c r="B204" s="368"/>
      <c r="C204" s="726"/>
      <c r="D204" s="727"/>
      <c r="E204" s="728"/>
      <c r="F204" s="729"/>
      <c r="G204" s="728"/>
      <c r="H204" s="729"/>
      <c r="I204" s="730">
        <f t="shared" ref="I204:I261" si="49">G204-H204</f>
        <v>0</v>
      </c>
      <c r="J204" s="773" t="str">
        <f t="shared" ref="J204:J261" si="50">IF(I204=0,"",I204/H204)</f>
        <v/>
      </c>
      <c r="K204" s="731"/>
    </row>
    <row r="205" spans="1:11" ht="11.25" customHeight="1" x14ac:dyDescent="0.25">
      <c r="A205" s="36">
        <f>'Org structure'!E33</f>
        <v>0</v>
      </c>
      <c r="B205" s="368"/>
      <c r="C205" s="726"/>
      <c r="D205" s="727"/>
      <c r="E205" s="728"/>
      <c r="F205" s="729"/>
      <c r="G205" s="728"/>
      <c r="H205" s="729"/>
      <c r="I205" s="730">
        <f t="shared" si="49"/>
        <v>0</v>
      </c>
      <c r="J205" s="773" t="str">
        <f t="shared" si="50"/>
        <v/>
      </c>
      <c r="K205" s="731"/>
    </row>
    <row r="206" spans="1:11" ht="11.25" customHeight="1" x14ac:dyDescent="0.25">
      <c r="A206" s="36">
        <f>'Org structure'!E34</f>
        <v>0</v>
      </c>
      <c r="B206" s="368"/>
      <c r="C206" s="726"/>
      <c r="D206" s="727"/>
      <c r="E206" s="728"/>
      <c r="F206" s="729"/>
      <c r="G206" s="728"/>
      <c r="H206" s="729"/>
      <c r="I206" s="730">
        <f t="shared" si="49"/>
        <v>0</v>
      </c>
      <c r="J206" s="773" t="str">
        <f t="shared" si="50"/>
        <v/>
      </c>
      <c r="K206" s="731"/>
    </row>
    <row r="207" spans="1:11" s="57" customFormat="1" ht="11.25" customHeight="1" x14ac:dyDescent="0.25">
      <c r="A207" s="88" t="str">
        <f>'Org structure'!A5</f>
        <v>Vote 4 - Financial Services</v>
      </c>
      <c r="B207" s="363"/>
      <c r="C207" s="721">
        <f t="shared" ref="C207:K207" si="51">SUM(C208:C217)</f>
        <v>61792081.650000013</v>
      </c>
      <c r="D207" s="722">
        <f t="shared" si="51"/>
        <v>82572664</v>
      </c>
      <c r="E207" s="723">
        <f t="shared" si="51"/>
        <v>74038770</v>
      </c>
      <c r="F207" s="724">
        <f t="shared" si="51"/>
        <v>4563493.32</v>
      </c>
      <c r="G207" s="723">
        <f t="shared" si="51"/>
        <v>58220888.370000005</v>
      </c>
      <c r="H207" s="724">
        <f t="shared" si="51"/>
        <v>74038770</v>
      </c>
      <c r="I207" s="723">
        <f t="shared" si="49"/>
        <v>-15817881.629999995</v>
      </c>
      <c r="J207" s="772">
        <f t="shared" si="50"/>
        <v>-0.21364322543445813</v>
      </c>
      <c r="K207" s="725">
        <f t="shared" si="51"/>
        <v>74038770</v>
      </c>
    </row>
    <row r="208" spans="1:11" ht="11.25" customHeight="1" x14ac:dyDescent="0.25">
      <c r="A208" s="36" t="str">
        <f>'Org structure'!E36</f>
        <v>4.1 - Administration</v>
      </c>
      <c r="B208" s="368"/>
      <c r="C208" s="726">
        <v>12870926.220000001</v>
      </c>
      <c r="D208" s="727">
        <v>13250726</v>
      </c>
      <c r="E208" s="728">
        <v>25330180</v>
      </c>
      <c r="F208" s="934">
        <v>497505.51</v>
      </c>
      <c r="G208" s="933">
        <v>11246320.590000004</v>
      </c>
      <c r="H208" s="729">
        <f>E208/12*$L$1</f>
        <v>25330180</v>
      </c>
      <c r="I208" s="730">
        <f t="shared" si="49"/>
        <v>-14083859.409999996</v>
      </c>
      <c r="J208" s="773">
        <f t="shared" si="50"/>
        <v>-0.55601102755685106</v>
      </c>
      <c r="K208" s="731">
        <f>E208</f>
        <v>25330180</v>
      </c>
    </row>
    <row r="209" spans="1:11" ht="11.25" customHeight="1" x14ac:dyDescent="0.25">
      <c r="A209" s="36" t="str">
        <f>'Org structure'!E37</f>
        <v>4.2 - Revenue</v>
      </c>
      <c r="B209" s="368"/>
      <c r="C209" s="726">
        <v>27173117.680000003</v>
      </c>
      <c r="D209" s="727">
        <v>41946433</v>
      </c>
      <c r="E209" s="728">
        <v>31887430</v>
      </c>
      <c r="F209" s="934">
        <v>2105273.8300000005</v>
      </c>
      <c r="G209" s="933">
        <v>23513013.569999989</v>
      </c>
      <c r="H209" s="729">
        <f>E209/12*$L$1</f>
        <v>31887430</v>
      </c>
      <c r="I209" s="730">
        <f t="shared" si="49"/>
        <v>-8374416.4300000109</v>
      </c>
      <c r="J209" s="773">
        <f t="shared" si="50"/>
        <v>-0.26262437675284622</v>
      </c>
      <c r="K209" s="731">
        <f>E209</f>
        <v>31887430</v>
      </c>
    </row>
    <row r="210" spans="1:11" ht="11.25" customHeight="1" x14ac:dyDescent="0.25">
      <c r="A210" s="36" t="str">
        <f>'Org structure'!E38</f>
        <v>4.3 - Financial Planning</v>
      </c>
      <c r="B210" s="368"/>
      <c r="C210" s="726">
        <v>9670703.4600000009</v>
      </c>
      <c r="D210" s="727">
        <v>12188046</v>
      </c>
      <c r="E210" s="728">
        <v>2754919</v>
      </c>
      <c r="F210" s="934">
        <v>802250.31999999983</v>
      </c>
      <c r="G210" s="933">
        <v>9903899.160000002</v>
      </c>
      <c r="H210" s="729">
        <f>E210/12*$L$1</f>
        <v>2754919</v>
      </c>
      <c r="I210" s="730">
        <f t="shared" si="49"/>
        <v>7148980.160000002</v>
      </c>
      <c r="J210" s="773">
        <f t="shared" si="50"/>
        <v>2.5949874243126576</v>
      </c>
      <c r="K210" s="731">
        <f>E210</f>
        <v>2754919</v>
      </c>
    </row>
    <row r="211" spans="1:11" ht="11.25" customHeight="1" x14ac:dyDescent="0.25">
      <c r="A211" s="36" t="str">
        <f>'Org structure'!E39</f>
        <v>4.4 - Supply Chain Management</v>
      </c>
      <c r="B211" s="368"/>
      <c r="C211" s="726">
        <v>12077334.290000005</v>
      </c>
      <c r="D211" s="727">
        <v>15187459</v>
      </c>
      <c r="E211" s="728">
        <v>14066241</v>
      </c>
      <c r="F211" s="934">
        <v>1158463.6599999999</v>
      </c>
      <c r="G211" s="933">
        <v>13557655.050000003</v>
      </c>
      <c r="H211" s="729">
        <f>E211/12*$L$1</f>
        <v>14066241</v>
      </c>
      <c r="I211" s="730">
        <f t="shared" si="49"/>
        <v>-508585.94999999739</v>
      </c>
      <c r="J211" s="773">
        <f t="shared" si="50"/>
        <v>-3.6156493408579973E-2</v>
      </c>
      <c r="K211" s="731">
        <f>E211</f>
        <v>14066241</v>
      </c>
    </row>
    <row r="212" spans="1:11" ht="11.25" customHeight="1" x14ac:dyDescent="0.25">
      <c r="A212" s="36">
        <f>'Org structure'!E40</f>
        <v>0</v>
      </c>
      <c r="B212" s="368"/>
      <c r="C212" s="726"/>
      <c r="D212" s="727"/>
      <c r="E212" s="728"/>
      <c r="F212" s="729"/>
      <c r="G212" s="728"/>
      <c r="H212" s="729"/>
      <c r="I212" s="730">
        <f t="shared" si="49"/>
        <v>0</v>
      </c>
      <c r="J212" s="773" t="str">
        <f t="shared" si="50"/>
        <v/>
      </c>
      <c r="K212" s="731"/>
    </row>
    <row r="213" spans="1:11" ht="11.25" customHeight="1" x14ac:dyDescent="0.25">
      <c r="A213" s="36">
        <f>'Org structure'!E41</f>
        <v>0</v>
      </c>
      <c r="B213" s="368"/>
      <c r="C213" s="726"/>
      <c r="D213" s="727"/>
      <c r="E213" s="728"/>
      <c r="F213" s="729"/>
      <c r="G213" s="728"/>
      <c r="H213" s="729"/>
      <c r="I213" s="730">
        <f t="shared" si="49"/>
        <v>0</v>
      </c>
      <c r="J213" s="773" t="str">
        <f t="shared" si="50"/>
        <v/>
      </c>
      <c r="K213" s="731"/>
    </row>
    <row r="214" spans="1:11" ht="11.25" customHeight="1" x14ac:dyDescent="0.25">
      <c r="A214" s="36">
        <f>'Org structure'!E42</f>
        <v>0</v>
      </c>
      <c r="B214" s="368"/>
      <c r="C214" s="726"/>
      <c r="D214" s="727"/>
      <c r="E214" s="728"/>
      <c r="F214" s="729"/>
      <c r="G214" s="728"/>
      <c r="H214" s="729"/>
      <c r="I214" s="730">
        <f t="shared" si="49"/>
        <v>0</v>
      </c>
      <c r="J214" s="773" t="str">
        <f t="shared" si="50"/>
        <v/>
      </c>
      <c r="K214" s="731"/>
    </row>
    <row r="215" spans="1:11" ht="11.25" customHeight="1" x14ac:dyDescent="0.25">
      <c r="A215" s="36">
        <f>'Org structure'!E43</f>
        <v>0</v>
      </c>
      <c r="B215" s="368"/>
      <c r="C215" s="726"/>
      <c r="D215" s="727"/>
      <c r="E215" s="728"/>
      <c r="F215" s="729"/>
      <c r="G215" s="728"/>
      <c r="H215" s="729"/>
      <c r="I215" s="730">
        <f t="shared" si="49"/>
        <v>0</v>
      </c>
      <c r="J215" s="773" t="str">
        <f t="shared" si="50"/>
        <v/>
      </c>
      <c r="K215" s="731"/>
    </row>
    <row r="216" spans="1:11" ht="11.25" customHeight="1" x14ac:dyDescent="0.25">
      <c r="A216" s="36">
        <f>'Org structure'!E44</f>
        <v>0</v>
      </c>
      <c r="B216" s="368"/>
      <c r="C216" s="726"/>
      <c r="D216" s="727"/>
      <c r="E216" s="728"/>
      <c r="F216" s="729"/>
      <c r="G216" s="728"/>
      <c r="H216" s="729"/>
      <c r="I216" s="730">
        <f t="shared" si="49"/>
        <v>0</v>
      </c>
      <c r="J216" s="773" t="str">
        <f t="shared" si="50"/>
        <v/>
      </c>
      <c r="K216" s="731"/>
    </row>
    <row r="217" spans="1:11" ht="11.25" customHeight="1" x14ac:dyDescent="0.25">
      <c r="A217" s="36">
        <f>'Org structure'!E45</f>
        <v>0</v>
      </c>
      <c r="B217" s="368"/>
      <c r="C217" s="726"/>
      <c r="D217" s="727"/>
      <c r="E217" s="728"/>
      <c r="F217" s="729"/>
      <c r="G217" s="728"/>
      <c r="H217" s="729"/>
      <c r="I217" s="730">
        <f t="shared" si="49"/>
        <v>0</v>
      </c>
      <c r="J217" s="773" t="str">
        <f t="shared" si="50"/>
        <v/>
      </c>
      <c r="K217" s="731"/>
    </row>
    <row r="218" spans="1:11" s="57" customFormat="1" ht="11.25" customHeight="1" x14ac:dyDescent="0.25">
      <c r="A218" s="88" t="str">
        <f>'Org structure'!A6</f>
        <v>Vote 5 - Community Services</v>
      </c>
      <c r="B218" s="363"/>
      <c r="C218" s="721">
        <f t="shared" ref="C218:K218" si="52">SUM(C219:C228)</f>
        <v>216077680.79000002</v>
      </c>
      <c r="D218" s="722">
        <f t="shared" si="52"/>
        <v>198798077</v>
      </c>
      <c r="E218" s="723">
        <f t="shared" si="52"/>
        <v>213401612</v>
      </c>
      <c r="F218" s="724">
        <f t="shared" si="52"/>
        <v>7329778.5799999982</v>
      </c>
      <c r="G218" s="723">
        <f t="shared" si="52"/>
        <v>203941161.72999996</v>
      </c>
      <c r="H218" s="724">
        <f t="shared" si="52"/>
        <v>213401612</v>
      </c>
      <c r="I218" s="723">
        <f t="shared" si="49"/>
        <v>-9460450.2700000405</v>
      </c>
      <c r="J218" s="772">
        <f t="shared" si="50"/>
        <v>-4.4331672011924825E-2</v>
      </c>
      <c r="K218" s="725">
        <f t="shared" si="52"/>
        <v>213401612</v>
      </c>
    </row>
    <row r="219" spans="1:11" ht="11.25" customHeight="1" x14ac:dyDescent="0.25">
      <c r="A219" s="36" t="str">
        <f>'Org structure'!E47</f>
        <v>5.1 - Administration &amp; Support Services</v>
      </c>
      <c r="B219" s="368"/>
      <c r="C219" s="726">
        <v>6560650.9300000006</v>
      </c>
      <c r="D219" s="727">
        <v>10044609</v>
      </c>
      <c r="E219" s="728">
        <v>9166537</v>
      </c>
      <c r="F219" s="936">
        <v>1308350.69</v>
      </c>
      <c r="G219" s="935">
        <v>6637648.540000001</v>
      </c>
      <c r="H219" s="729">
        <f t="shared" ref="H219:H227" si="53">E219/12*$L$1</f>
        <v>9166537</v>
      </c>
      <c r="I219" s="730">
        <f t="shared" si="49"/>
        <v>-2528888.459999999</v>
      </c>
      <c r="J219" s="773">
        <f t="shared" si="50"/>
        <v>-0.2758826435763036</v>
      </c>
      <c r="K219" s="731">
        <f t="shared" ref="K219:K227" si="54">E219</f>
        <v>9166537</v>
      </c>
    </row>
    <row r="220" spans="1:11" ht="11.25" customHeight="1" x14ac:dyDescent="0.25">
      <c r="A220" s="36" t="str">
        <f>'Org structure'!E48</f>
        <v>5.2 - Human Settlements &amp; Housing</v>
      </c>
      <c r="B220" s="368"/>
      <c r="C220" s="726">
        <v>29090537.979999989</v>
      </c>
      <c r="D220" s="727">
        <v>37979545</v>
      </c>
      <c r="E220" s="728">
        <v>32422561</v>
      </c>
      <c r="F220" s="936">
        <v>5405673.2099999981</v>
      </c>
      <c r="G220" s="935">
        <v>25787437.659999996</v>
      </c>
      <c r="H220" s="729">
        <f t="shared" si="53"/>
        <v>32422561</v>
      </c>
      <c r="I220" s="730">
        <f t="shared" si="49"/>
        <v>-6635123.3400000036</v>
      </c>
      <c r="J220" s="773">
        <f t="shared" si="50"/>
        <v>-0.20464525735644398</v>
      </c>
      <c r="K220" s="731">
        <f t="shared" si="54"/>
        <v>32422561</v>
      </c>
    </row>
    <row r="221" spans="1:11" ht="11.25" customHeight="1" x14ac:dyDescent="0.25">
      <c r="A221" s="36" t="str">
        <f>'Org structure'!E49</f>
        <v>5.3 - Libraries</v>
      </c>
      <c r="B221" s="368"/>
      <c r="C221" s="726">
        <v>12018871.170000002</v>
      </c>
      <c r="D221" s="727">
        <v>13591395</v>
      </c>
      <c r="E221" s="728">
        <v>13346623</v>
      </c>
      <c r="F221" s="936">
        <v>1247577.6999999997</v>
      </c>
      <c r="G221" s="935">
        <v>13008859.739999993</v>
      </c>
      <c r="H221" s="729">
        <f t="shared" si="53"/>
        <v>13346623</v>
      </c>
      <c r="I221" s="730">
        <f t="shared" si="49"/>
        <v>-337763.26000000723</v>
      </c>
      <c r="J221" s="773">
        <f t="shared" si="50"/>
        <v>-2.530702036013209E-2</v>
      </c>
      <c r="K221" s="731">
        <f t="shared" si="54"/>
        <v>13346623</v>
      </c>
    </row>
    <row r="222" spans="1:11" ht="11.25" customHeight="1" x14ac:dyDescent="0.25">
      <c r="A222" s="36" t="str">
        <f>'Org structure'!E50</f>
        <v>5.4 - Fire Brigade &amp; Disaster Risk Management</v>
      </c>
      <c r="B222" s="368"/>
      <c r="C222" s="726">
        <v>28856658.309999991</v>
      </c>
      <c r="D222" s="727">
        <v>30401121</v>
      </c>
      <c r="E222" s="728">
        <v>26960369</v>
      </c>
      <c r="F222" s="936">
        <v>2719039.49</v>
      </c>
      <c r="G222" s="935">
        <v>27186227.450000003</v>
      </c>
      <c r="H222" s="729">
        <f t="shared" si="53"/>
        <v>26960369</v>
      </c>
      <c r="I222" s="730">
        <f t="shared" si="49"/>
        <v>225858.45000000298</v>
      </c>
      <c r="J222" s="773">
        <f t="shared" si="50"/>
        <v>8.3774242852537734E-3</v>
      </c>
      <c r="K222" s="731">
        <f t="shared" si="54"/>
        <v>26960369</v>
      </c>
    </row>
    <row r="223" spans="1:11" ht="11.25" customHeight="1" x14ac:dyDescent="0.25">
      <c r="A223" s="36" t="str">
        <f>'Org structure'!E51</f>
        <v>5.5 - Traffic Services</v>
      </c>
      <c r="B223" s="368"/>
      <c r="C223" s="726">
        <v>117721969.95000002</v>
      </c>
      <c r="D223" s="727">
        <v>80031411</v>
      </c>
      <c r="E223" s="728">
        <v>110811733</v>
      </c>
      <c r="F223" s="936">
        <v>-5258961.42</v>
      </c>
      <c r="G223" s="935">
        <v>108350402.52999997</v>
      </c>
      <c r="H223" s="729">
        <f t="shared" si="53"/>
        <v>110811733</v>
      </c>
      <c r="I223" s="730">
        <f t="shared" si="49"/>
        <v>-2461330.4700000286</v>
      </c>
      <c r="J223" s="773">
        <f t="shared" si="50"/>
        <v>-2.2211821829372785E-2</v>
      </c>
      <c r="K223" s="731">
        <f t="shared" si="54"/>
        <v>110811733</v>
      </c>
    </row>
    <row r="224" spans="1:11" ht="11.25" customHeight="1" x14ac:dyDescent="0.25">
      <c r="A224" s="36" t="str">
        <f>'Org structure'!E52</f>
        <v>5.6 - Municipal Halls and Resorts</v>
      </c>
      <c r="B224" s="368"/>
      <c r="C224" s="726">
        <v>8045990.3699999982</v>
      </c>
      <c r="D224" s="727">
        <v>9151159</v>
      </c>
      <c r="E224" s="728">
        <v>8394322</v>
      </c>
      <c r="F224" s="936">
        <v>863010.63999999978</v>
      </c>
      <c r="G224" s="935">
        <v>9079542.8900000043</v>
      </c>
      <c r="H224" s="729">
        <f t="shared" si="53"/>
        <v>8394322</v>
      </c>
      <c r="I224" s="730">
        <f t="shared" si="49"/>
        <v>685220.89000000432</v>
      </c>
      <c r="J224" s="773">
        <f t="shared" si="50"/>
        <v>8.1629092855861896E-2</v>
      </c>
      <c r="K224" s="731">
        <f t="shared" si="54"/>
        <v>8394322</v>
      </c>
    </row>
    <row r="225" spans="1:11" ht="11.25" customHeight="1" x14ac:dyDescent="0.25">
      <c r="A225" s="36" t="str">
        <f>'Org structure'!E53</f>
        <v>5.7 - Customer Care Services</v>
      </c>
      <c r="B225" s="368"/>
      <c r="C225" s="726">
        <v>3061239.1799999997</v>
      </c>
      <c r="D225" s="727">
        <v>3626741</v>
      </c>
      <c r="E225" s="728">
        <v>2946273</v>
      </c>
      <c r="F225" s="936">
        <v>252731.53999999998</v>
      </c>
      <c r="G225" s="935">
        <v>3359217.5899999989</v>
      </c>
      <c r="H225" s="729">
        <f t="shared" si="53"/>
        <v>2946273</v>
      </c>
      <c r="I225" s="730">
        <f t="shared" si="49"/>
        <v>412944.58999999892</v>
      </c>
      <c r="J225" s="773">
        <f t="shared" si="50"/>
        <v>0.14015829150930648</v>
      </c>
      <c r="K225" s="731">
        <f t="shared" si="54"/>
        <v>2946273</v>
      </c>
    </row>
    <row r="226" spans="1:11" ht="11.25" customHeight="1" x14ac:dyDescent="0.25">
      <c r="A226" s="36" t="str">
        <f>'Org structure'!E54</f>
        <v>5.8 - Sports and Recreation</v>
      </c>
      <c r="B226" s="368"/>
      <c r="C226" s="726">
        <v>10625109.959999999</v>
      </c>
      <c r="D226" s="727">
        <v>13871412</v>
      </c>
      <c r="E226" s="728">
        <v>9252510</v>
      </c>
      <c r="F226" s="936">
        <v>777477.58</v>
      </c>
      <c r="G226" s="935">
        <v>10442794.410000002</v>
      </c>
      <c r="H226" s="729">
        <f t="shared" si="53"/>
        <v>9252510</v>
      </c>
      <c r="I226" s="730">
        <f t="shared" si="49"/>
        <v>1190284.410000002</v>
      </c>
      <c r="J226" s="773">
        <f t="shared" si="50"/>
        <v>0.12864448782006202</v>
      </c>
      <c r="K226" s="731">
        <f t="shared" si="54"/>
        <v>9252510</v>
      </c>
    </row>
    <row r="227" spans="1:11" ht="11.25" customHeight="1" x14ac:dyDescent="0.25">
      <c r="A227" s="36" t="str">
        <f>'Org structure'!E55</f>
        <v>5.9 - Health</v>
      </c>
      <c r="B227" s="368"/>
      <c r="C227" s="726">
        <v>96652.939999999988</v>
      </c>
      <c r="D227" s="727">
        <v>100684</v>
      </c>
      <c r="E227" s="728">
        <v>100684</v>
      </c>
      <c r="F227" s="936">
        <v>14879.149999999998</v>
      </c>
      <c r="G227" s="935">
        <v>89030.92</v>
      </c>
      <c r="H227" s="729">
        <f t="shared" si="53"/>
        <v>100684</v>
      </c>
      <c r="I227" s="730">
        <f t="shared" si="49"/>
        <v>-11653.080000000002</v>
      </c>
      <c r="J227" s="773">
        <f t="shared" si="50"/>
        <v>-0.11573914425330739</v>
      </c>
      <c r="K227" s="731">
        <f t="shared" si="54"/>
        <v>100684</v>
      </c>
    </row>
    <row r="228" spans="1:11" ht="11.25" customHeight="1" x14ac:dyDescent="0.25">
      <c r="A228" s="36">
        <f>'Org structure'!E56</f>
        <v>0</v>
      </c>
      <c r="B228" s="368"/>
      <c r="C228" s="726"/>
      <c r="D228" s="727"/>
      <c r="E228" s="728"/>
      <c r="F228" s="729"/>
      <c r="G228" s="728"/>
      <c r="H228" s="729"/>
      <c r="I228" s="730">
        <f t="shared" si="49"/>
        <v>0</v>
      </c>
      <c r="J228" s="773" t="str">
        <f t="shared" si="50"/>
        <v/>
      </c>
      <c r="K228" s="731"/>
    </row>
    <row r="229" spans="1:11" s="57" customFormat="1" ht="11.25" customHeight="1" x14ac:dyDescent="0.25">
      <c r="A229" s="88" t="str">
        <f>'Org structure'!A7</f>
        <v>Vote 6 - Technical Services</v>
      </c>
      <c r="B229" s="363"/>
      <c r="C229" s="721">
        <f t="shared" ref="C229:K229" si="55">SUM(C230:C239)</f>
        <v>583906466.62000012</v>
      </c>
      <c r="D229" s="722">
        <f t="shared" si="55"/>
        <v>628671881</v>
      </c>
      <c r="E229" s="723">
        <f t="shared" si="55"/>
        <v>619171393</v>
      </c>
      <c r="F229" s="724">
        <f t="shared" si="55"/>
        <v>58941846.56000001</v>
      </c>
      <c r="G229" s="723">
        <f t="shared" si="55"/>
        <v>542490873.45000005</v>
      </c>
      <c r="H229" s="724">
        <f t="shared" si="55"/>
        <v>619171393</v>
      </c>
      <c r="I229" s="723">
        <f t="shared" si="49"/>
        <v>-76680519.549999952</v>
      </c>
      <c r="J229" s="772">
        <f t="shared" si="50"/>
        <v>-0.1238437699430341</v>
      </c>
      <c r="K229" s="725">
        <f t="shared" si="55"/>
        <v>619171393</v>
      </c>
    </row>
    <row r="230" spans="1:11" ht="11.25" customHeight="1" x14ac:dyDescent="0.25">
      <c r="A230" s="36" t="str">
        <f>'Org structure'!E58</f>
        <v>6.1 - Public Works</v>
      </c>
      <c r="B230" s="368"/>
      <c r="C230" s="726">
        <v>85912763.550000042</v>
      </c>
      <c r="D230" s="727">
        <v>95790733</v>
      </c>
      <c r="E230" s="728">
        <v>94778641</v>
      </c>
      <c r="F230" s="938">
        <v>11776744.300000003</v>
      </c>
      <c r="G230" s="937">
        <v>88206952.400000036</v>
      </c>
      <c r="H230" s="729">
        <f t="shared" ref="H230:H236" si="56">E230/12*$L$1</f>
        <v>94778641</v>
      </c>
      <c r="I230" s="730">
        <f t="shared" si="49"/>
        <v>-6571688.5999999642</v>
      </c>
      <c r="J230" s="773">
        <f t="shared" si="50"/>
        <v>-6.9337231792550857E-2</v>
      </c>
      <c r="K230" s="731">
        <f t="shared" ref="K230:K236" si="57">E230</f>
        <v>94778641</v>
      </c>
    </row>
    <row r="231" spans="1:11" ht="11.25" customHeight="1" x14ac:dyDescent="0.25">
      <c r="A231" s="36" t="str">
        <f>'Org structure'!E59</f>
        <v>6.2 - Cemetaries</v>
      </c>
      <c r="B231" s="368"/>
      <c r="C231" s="726">
        <v>2161441.7399999998</v>
      </c>
      <c r="D231" s="727">
        <v>2642295</v>
      </c>
      <c r="E231" s="728">
        <v>2544888</v>
      </c>
      <c r="F231" s="938">
        <v>375572.61</v>
      </c>
      <c r="G231" s="937">
        <v>2438725.2000000002</v>
      </c>
      <c r="H231" s="729">
        <f t="shared" si="56"/>
        <v>2544888</v>
      </c>
      <c r="I231" s="730">
        <f t="shared" si="49"/>
        <v>-106162.79999999981</v>
      </c>
      <c r="J231" s="773">
        <f t="shared" si="50"/>
        <v>-4.171609909748477E-2</v>
      </c>
      <c r="K231" s="731">
        <f t="shared" si="57"/>
        <v>2544888</v>
      </c>
    </row>
    <row r="232" spans="1:11" ht="11.25" customHeight="1" x14ac:dyDescent="0.25">
      <c r="A232" s="36" t="str">
        <f>'Org structure'!E60</f>
        <v>6.3 - Recreational Facilities</v>
      </c>
      <c r="B232" s="368"/>
      <c r="C232" s="726">
        <v>7196884.0799999991</v>
      </c>
      <c r="D232" s="727">
        <v>9065117</v>
      </c>
      <c r="E232" s="728">
        <v>8390521</v>
      </c>
      <c r="F232" s="938">
        <v>862995.2200000002</v>
      </c>
      <c r="G232" s="937">
        <v>7752802.450000002</v>
      </c>
      <c r="H232" s="729">
        <f t="shared" si="56"/>
        <v>8390521</v>
      </c>
      <c r="I232" s="730">
        <f t="shared" si="49"/>
        <v>-637718.54999999795</v>
      </c>
      <c r="J232" s="773">
        <f t="shared" si="50"/>
        <v>-7.6004642619927648E-2</v>
      </c>
      <c r="K232" s="731">
        <f t="shared" si="57"/>
        <v>8390521</v>
      </c>
    </row>
    <row r="233" spans="1:11" ht="11.25" customHeight="1" x14ac:dyDescent="0.25">
      <c r="A233" s="36" t="str">
        <f>'Org structure'!E61</f>
        <v>6.4 - Refuse Removal</v>
      </c>
      <c r="B233" s="368"/>
      <c r="C233" s="726">
        <v>51761932.490000002</v>
      </c>
      <c r="D233" s="727">
        <v>49593136</v>
      </c>
      <c r="E233" s="728">
        <v>47682446</v>
      </c>
      <c r="F233" s="938">
        <v>3387630.0799999996</v>
      </c>
      <c r="G233" s="937">
        <v>33744981.879999988</v>
      </c>
      <c r="H233" s="729">
        <f t="shared" si="56"/>
        <v>47682446</v>
      </c>
      <c r="I233" s="730">
        <f t="shared" si="49"/>
        <v>-13937464.120000012</v>
      </c>
      <c r="J233" s="773">
        <f t="shared" si="50"/>
        <v>-0.29229759144486867</v>
      </c>
      <c r="K233" s="731">
        <f t="shared" si="57"/>
        <v>47682446</v>
      </c>
    </row>
    <row r="234" spans="1:11" ht="11.25" customHeight="1" x14ac:dyDescent="0.25">
      <c r="A234" s="36" t="str">
        <f>'Org structure'!E62</f>
        <v>6.5 - Sewerages</v>
      </c>
      <c r="B234" s="368"/>
      <c r="C234" s="726">
        <v>55928388.289999969</v>
      </c>
      <c r="D234" s="727">
        <v>55006285</v>
      </c>
      <c r="E234" s="728">
        <v>54370601</v>
      </c>
      <c r="F234" s="938">
        <v>5566574.1499999985</v>
      </c>
      <c r="G234" s="937">
        <v>48315520.110000007</v>
      </c>
      <c r="H234" s="729">
        <f t="shared" si="56"/>
        <v>54370601</v>
      </c>
      <c r="I234" s="730">
        <f t="shared" si="49"/>
        <v>-6055080.8899999931</v>
      </c>
      <c r="J234" s="773">
        <f t="shared" si="50"/>
        <v>-0.11136681917494333</v>
      </c>
      <c r="K234" s="731">
        <f t="shared" si="57"/>
        <v>54370601</v>
      </c>
    </row>
    <row r="235" spans="1:11" ht="11.25" customHeight="1" x14ac:dyDescent="0.25">
      <c r="A235" s="36" t="str">
        <f>'Org structure'!E63</f>
        <v>6.6 - Electricity Management</v>
      </c>
      <c r="B235" s="368"/>
      <c r="C235" s="726">
        <v>323250923.81</v>
      </c>
      <c r="D235" s="727">
        <v>356746112</v>
      </c>
      <c r="E235" s="728">
        <v>347349867.00000006</v>
      </c>
      <c r="F235" s="938">
        <v>30129159.390000008</v>
      </c>
      <c r="G235" s="937">
        <v>309094181.82999992</v>
      </c>
      <c r="H235" s="729">
        <f t="shared" si="56"/>
        <v>347349867.00000006</v>
      </c>
      <c r="I235" s="730">
        <f t="shared" si="49"/>
        <v>-38255685.170000136</v>
      </c>
      <c r="J235" s="773">
        <f t="shared" si="50"/>
        <v>-0.11013588547019691</v>
      </c>
      <c r="K235" s="731">
        <f t="shared" si="57"/>
        <v>347349867.00000006</v>
      </c>
    </row>
    <row r="236" spans="1:11" ht="11.25" customHeight="1" x14ac:dyDescent="0.25">
      <c r="A236" s="36" t="str">
        <f>'Org structure'!E64</f>
        <v>6.7 - Water Management</v>
      </c>
      <c r="B236" s="368"/>
      <c r="C236" s="726">
        <v>57694132.660000026</v>
      </c>
      <c r="D236" s="727">
        <v>59828203</v>
      </c>
      <c r="E236" s="728">
        <v>64054429</v>
      </c>
      <c r="F236" s="938">
        <v>6843170.8100000024</v>
      </c>
      <c r="G236" s="937">
        <v>52937709.579999998</v>
      </c>
      <c r="H236" s="729">
        <f t="shared" si="56"/>
        <v>64054429</v>
      </c>
      <c r="I236" s="730">
        <f t="shared" si="49"/>
        <v>-11116719.420000002</v>
      </c>
      <c r="J236" s="773">
        <f t="shared" si="50"/>
        <v>-0.17355114382488682</v>
      </c>
      <c r="K236" s="731">
        <f t="shared" si="57"/>
        <v>64054429</v>
      </c>
    </row>
    <row r="237" spans="1:11" ht="11.25" customHeight="1" x14ac:dyDescent="0.25">
      <c r="A237" s="36">
        <f>'Org structure'!E65</f>
        <v>0</v>
      </c>
      <c r="B237" s="368"/>
      <c r="C237" s="726"/>
      <c r="D237" s="727"/>
      <c r="E237" s="728"/>
      <c r="F237" s="729"/>
      <c r="G237" s="728"/>
      <c r="H237" s="729"/>
      <c r="I237" s="730">
        <f t="shared" si="49"/>
        <v>0</v>
      </c>
      <c r="J237" s="773" t="str">
        <f t="shared" si="50"/>
        <v/>
      </c>
      <c r="K237" s="731"/>
    </row>
    <row r="238" spans="1:11" ht="11.25" customHeight="1" x14ac:dyDescent="0.25">
      <c r="A238" s="36">
        <f>'Org structure'!E66</f>
        <v>0</v>
      </c>
      <c r="B238" s="368"/>
      <c r="C238" s="726"/>
      <c r="D238" s="727"/>
      <c r="E238" s="728"/>
      <c r="F238" s="729"/>
      <c r="G238" s="728"/>
      <c r="H238" s="729"/>
      <c r="I238" s="730">
        <f t="shared" si="49"/>
        <v>0</v>
      </c>
      <c r="J238" s="773" t="str">
        <f t="shared" si="50"/>
        <v/>
      </c>
      <c r="K238" s="731"/>
    </row>
    <row r="239" spans="1:11" ht="11.25" customHeight="1" x14ac:dyDescent="0.25">
      <c r="A239" s="36">
        <f>'Org structure'!E67</f>
        <v>0</v>
      </c>
      <c r="B239" s="368"/>
      <c r="C239" s="726"/>
      <c r="D239" s="727"/>
      <c r="E239" s="728"/>
      <c r="F239" s="729"/>
      <c r="G239" s="728"/>
      <c r="H239" s="729"/>
      <c r="I239" s="730">
        <f t="shared" si="49"/>
        <v>0</v>
      </c>
      <c r="J239" s="773"/>
      <c r="K239" s="731"/>
    </row>
    <row r="240" spans="1:11" ht="11.25" hidden="1" customHeight="1" x14ac:dyDescent="0.25">
      <c r="A240" s="88" t="str">
        <f>'Org structure'!A8</f>
        <v>Vote 7 - [NAME OF VOTE 7]</v>
      </c>
      <c r="B240" s="363"/>
      <c r="C240" s="721">
        <f t="shared" ref="C240:K240" si="58">SUM(C241:C250)</f>
        <v>0</v>
      </c>
      <c r="D240" s="722">
        <f t="shared" si="58"/>
        <v>0</v>
      </c>
      <c r="E240" s="723">
        <f t="shared" si="58"/>
        <v>0</v>
      </c>
      <c r="F240" s="724">
        <f t="shared" si="58"/>
        <v>0</v>
      </c>
      <c r="G240" s="723">
        <f t="shared" si="58"/>
        <v>0</v>
      </c>
      <c r="H240" s="724">
        <f t="shared" si="58"/>
        <v>0</v>
      </c>
      <c r="I240" s="730">
        <f t="shared" si="49"/>
        <v>0</v>
      </c>
      <c r="J240" s="773" t="str">
        <f t="shared" si="50"/>
        <v/>
      </c>
      <c r="K240" s="725">
        <f t="shared" si="58"/>
        <v>0</v>
      </c>
    </row>
    <row r="241" spans="1:11" ht="11.25" hidden="1" customHeight="1" x14ac:dyDescent="0.25">
      <c r="A241" s="36" t="str">
        <f>'Org structure'!E69</f>
        <v>7.1 - [Name of sub-vote]</v>
      </c>
      <c r="B241" s="368"/>
      <c r="C241" s="726"/>
      <c r="D241" s="727"/>
      <c r="E241" s="728"/>
      <c r="F241" s="729"/>
      <c r="G241" s="728"/>
      <c r="H241" s="729"/>
      <c r="I241" s="730">
        <f t="shared" si="49"/>
        <v>0</v>
      </c>
      <c r="J241" s="773" t="str">
        <f t="shared" si="50"/>
        <v/>
      </c>
      <c r="K241" s="731"/>
    </row>
    <row r="242" spans="1:11" ht="11.25" hidden="1" customHeight="1" x14ac:dyDescent="0.25">
      <c r="A242" s="36">
        <f>'Org structure'!E70</f>
        <v>0</v>
      </c>
      <c r="B242" s="368"/>
      <c r="C242" s="726"/>
      <c r="D242" s="727"/>
      <c r="E242" s="728"/>
      <c r="F242" s="729"/>
      <c r="G242" s="728"/>
      <c r="H242" s="729"/>
      <c r="I242" s="730">
        <f t="shared" si="49"/>
        <v>0</v>
      </c>
      <c r="J242" s="773" t="str">
        <f t="shared" si="50"/>
        <v/>
      </c>
      <c r="K242" s="731"/>
    </row>
    <row r="243" spans="1:11" ht="11.25" hidden="1" customHeight="1" x14ac:dyDescent="0.25">
      <c r="A243" s="36">
        <f>'Org structure'!E71</f>
        <v>0</v>
      </c>
      <c r="B243" s="368"/>
      <c r="C243" s="726"/>
      <c r="D243" s="727"/>
      <c r="E243" s="728"/>
      <c r="F243" s="729"/>
      <c r="G243" s="728"/>
      <c r="H243" s="729"/>
      <c r="I243" s="730">
        <f t="shared" si="49"/>
        <v>0</v>
      </c>
      <c r="J243" s="773" t="str">
        <f t="shared" si="50"/>
        <v/>
      </c>
      <c r="K243" s="731"/>
    </row>
    <row r="244" spans="1:11" ht="11.25" hidden="1" customHeight="1" x14ac:dyDescent="0.25">
      <c r="A244" s="36">
        <f>'Org structure'!E72</f>
        <v>0</v>
      </c>
      <c r="B244" s="368"/>
      <c r="C244" s="726"/>
      <c r="D244" s="727"/>
      <c r="E244" s="728"/>
      <c r="F244" s="729"/>
      <c r="G244" s="728"/>
      <c r="H244" s="729"/>
      <c r="I244" s="730">
        <f t="shared" si="49"/>
        <v>0</v>
      </c>
      <c r="J244" s="773" t="str">
        <f t="shared" si="50"/>
        <v/>
      </c>
      <c r="K244" s="731"/>
    </row>
    <row r="245" spans="1:11" ht="11.25" hidden="1" customHeight="1" x14ac:dyDescent="0.25">
      <c r="A245" s="36">
        <f>'Org structure'!E73</f>
        <v>0</v>
      </c>
      <c r="B245" s="368"/>
      <c r="C245" s="726"/>
      <c r="D245" s="727"/>
      <c r="E245" s="728"/>
      <c r="F245" s="729"/>
      <c r="G245" s="728"/>
      <c r="H245" s="729"/>
      <c r="I245" s="730">
        <f t="shared" si="49"/>
        <v>0</v>
      </c>
      <c r="J245" s="773" t="str">
        <f t="shared" si="50"/>
        <v/>
      </c>
      <c r="K245" s="731"/>
    </row>
    <row r="246" spans="1:11" ht="11.25" hidden="1" customHeight="1" x14ac:dyDescent="0.25">
      <c r="A246" s="36">
        <f>'Org structure'!E74</f>
        <v>0</v>
      </c>
      <c r="B246" s="368"/>
      <c r="C246" s="726"/>
      <c r="D246" s="727"/>
      <c r="E246" s="728"/>
      <c r="F246" s="729"/>
      <c r="G246" s="728"/>
      <c r="H246" s="729"/>
      <c r="I246" s="730">
        <f t="shared" si="49"/>
        <v>0</v>
      </c>
      <c r="J246" s="773" t="str">
        <f t="shared" si="50"/>
        <v/>
      </c>
      <c r="K246" s="731"/>
    </row>
    <row r="247" spans="1:11" ht="11.25" hidden="1" customHeight="1" x14ac:dyDescent="0.25">
      <c r="A247" s="36">
        <f>'Org structure'!E75</f>
        <v>0</v>
      </c>
      <c r="B247" s="368"/>
      <c r="C247" s="726"/>
      <c r="D247" s="727"/>
      <c r="E247" s="728"/>
      <c r="F247" s="729"/>
      <c r="G247" s="728"/>
      <c r="H247" s="729"/>
      <c r="I247" s="730">
        <f t="shared" si="49"/>
        <v>0</v>
      </c>
      <c r="J247" s="773" t="str">
        <f t="shared" si="50"/>
        <v/>
      </c>
      <c r="K247" s="731"/>
    </row>
    <row r="248" spans="1:11" ht="11.25" hidden="1" customHeight="1" x14ac:dyDescent="0.25">
      <c r="A248" s="36">
        <f>'Org structure'!E76</f>
        <v>0</v>
      </c>
      <c r="B248" s="368"/>
      <c r="C248" s="726"/>
      <c r="D248" s="727"/>
      <c r="E248" s="728"/>
      <c r="F248" s="729"/>
      <c r="G248" s="728"/>
      <c r="H248" s="729"/>
      <c r="I248" s="730">
        <f t="shared" si="49"/>
        <v>0</v>
      </c>
      <c r="J248" s="773" t="str">
        <f t="shared" si="50"/>
        <v/>
      </c>
      <c r="K248" s="731"/>
    </row>
    <row r="249" spans="1:11" ht="11.25" hidden="1" customHeight="1" x14ac:dyDescent="0.25">
      <c r="A249" s="36">
        <f>'Org structure'!E77</f>
        <v>0</v>
      </c>
      <c r="B249" s="368"/>
      <c r="C249" s="726"/>
      <c r="D249" s="727"/>
      <c r="E249" s="728"/>
      <c r="F249" s="729"/>
      <c r="G249" s="728"/>
      <c r="H249" s="729"/>
      <c r="I249" s="730">
        <f t="shared" si="49"/>
        <v>0</v>
      </c>
      <c r="J249" s="773" t="str">
        <f t="shared" si="50"/>
        <v/>
      </c>
      <c r="K249" s="731"/>
    </row>
    <row r="250" spans="1:11" ht="11.25" hidden="1" customHeight="1" x14ac:dyDescent="0.25">
      <c r="A250" s="36">
        <f>'Org structure'!E78</f>
        <v>0</v>
      </c>
      <c r="B250" s="368"/>
      <c r="C250" s="726"/>
      <c r="D250" s="727"/>
      <c r="E250" s="728"/>
      <c r="F250" s="729"/>
      <c r="G250" s="728"/>
      <c r="H250" s="729"/>
      <c r="I250" s="730">
        <f t="shared" si="49"/>
        <v>0</v>
      </c>
      <c r="J250" s="773" t="str">
        <f t="shared" si="50"/>
        <v/>
      </c>
      <c r="K250" s="731"/>
    </row>
    <row r="251" spans="1:11" ht="11.25" hidden="1" customHeight="1" x14ac:dyDescent="0.25">
      <c r="A251" s="88" t="str">
        <f>'Org structure'!A9</f>
        <v>Vote 8 - [NAME OF VOTE 8]</v>
      </c>
      <c r="B251" s="368"/>
      <c r="C251" s="721">
        <f t="shared" ref="C251:K251" si="59">SUM(C252:C261)</f>
        <v>0</v>
      </c>
      <c r="D251" s="722">
        <f t="shared" si="59"/>
        <v>0</v>
      </c>
      <c r="E251" s="723">
        <f t="shared" si="59"/>
        <v>0</v>
      </c>
      <c r="F251" s="724">
        <f t="shared" si="59"/>
        <v>0</v>
      </c>
      <c r="G251" s="723">
        <f t="shared" si="59"/>
        <v>0</v>
      </c>
      <c r="H251" s="724">
        <f t="shared" si="59"/>
        <v>0</v>
      </c>
      <c r="I251" s="730">
        <f t="shared" si="49"/>
        <v>0</v>
      </c>
      <c r="J251" s="773" t="str">
        <f t="shared" si="50"/>
        <v/>
      </c>
      <c r="K251" s="725">
        <f t="shared" si="59"/>
        <v>0</v>
      </c>
    </row>
    <row r="252" spans="1:11" ht="11.25" hidden="1" customHeight="1" x14ac:dyDescent="0.25">
      <c r="A252" s="36" t="str">
        <f>'Org structure'!E80</f>
        <v>8.1 - [Name of sub-vote]</v>
      </c>
      <c r="B252" s="368"/>
      <c r="C252" s="726"/>
      <c r="D252" s="727"/>
      <c r="E252" s="728"/>
      <c r="F252" s="729"/>
      <c r="G252" s="728"/>
      <c r="H252" s="729"/>
      <c r="I252" s="730">
        <f t="shared" si="49"/>
        <v>0</v>
      </c>
      <c r="J252" s="773" t="str">
        <f t="shared" si="50"/>
        <v/>
      </c>
      <c r="K252" s="731"/>
    </row>
    <row r="253" spans="1:11" ht="11.25" hidden="1" customHeight="1" x14ac:dyDescent="0.25">
      <c r="A253" s="36">
        <f>'Org structure'!E81</f>
        <v>0</v>
      </c>
      <c r="B253" s="368"/>
      <c r="C253" s="726"/>
      <c r="D253" s="727"/>
      <c r="E253" s="728"/>
      <c r="F253" s="729"/>
      <c r="G253" s="728"/>
      <c r="H253" s="729"/>
      <c r="I253" s="730">
        <f t="shared" si="49"/>
        <v>0</v>
      </c>
      <c r="J253" s="773" t="str">
        <f t="shared" si="50"/>
        <v/>
      </c>
      <c r="K253" s="731"/>
    </row>
    <row r="254" spans="1:11" ht="11.25" hidden="1" customHeight="1" x14ac:dyDescent="0.25">
      <c r="A254" s="36">
        <f>'Org structure'!E82</f>
        <v>0</v>
      </c>
      <c r="B254" s="368"/>
      <c r="C254" s="726"/>
      <c r="D254" s="727"/>
      <c r="E254" s="728"/>
      <c r="F254" s="729"/>
      <c r="G254" s="728"/>
      <c r="H254" s="729"/>
      <c r="I254" s="730">
        <f t="shared" si="49"/>
        <v>0</v>
      </c>
      <c r="J254" s="773" t="str">
        <f t="shared" si="50"/>
        <v/>
      </c>
      <c r="K254" s="731"/>
    </row>
    <row r="255" spans="1:11" ht="11.25" hidden="1" customHeight="1" x14ac:dyDescent="0.25">
      <c r="A255" s="36">
        <f>'Org structure'!E83</f>
        <v>0</v>
      </c>
      <c r="B255" s="368"/>
      <c r="C255" s="726"/>
      <c r="D255" s="727"/>
      <c r="E255" s="728"/>
      <c r="F255" s="729"/>
      <c r="G255" s="728"/>
      <c r="H255" s="729"/>
      <c r="I255" s="730">
        <f t="shared" si="49"/>
        <v>0</v>
      </c>
      <c r="J255" s="773" t="str">
        <f t="shared" si="50"/>
        <v/>
      </c>
      <c r="K255" s="731"/>
    </row>
    <row r="256" spans="1:11" ht="11.25" hidden="1" customHeight="1" x14ac:dyDescent="0.25">
      <c r="A256" s="36">
        <f>'Org structure'!E84</f>
        <v>0</v>
      </c>
      <c r="B256" s="368"/>
      <c r="C256" s="726"/>
      <c r="D256" s="727"/>
      <c r="E256" s="728"/>
      <c r="F256" s="729"/>
      <c r="G256" s="728"/>
      <c r="H256" s="729"/>
      <c r="I256" s="730">
        <f t="shared" si="49"/>
        <v>0</v>
      </c>
      <c r="J256" s="773" t="str">
        <f t="shared" si="50"/>
        <v/>
      </c>
      <c r="K256" s="731"/>
    </row>
    <row r="257" spans="1:11" ht="11.25" hidden="1" customHeight="1" x14ac:dyDescent="0.25">
      <c r="A257" s="36">
        <f>'Org structure'!E85</f>
        <v>0</v>
      </c>
      <c r="B257" s="368"/>
      <c r="C257" s="726"/>
      <c r="D257" s="727"/>
      <c r="E257" s="728"/>
      <c r="F257" s="729"/>
      <c r="G257" s="728"/>
      <c r="H257" s="729"/>
      <c r="I257" s="730">
        <f t="shared" si="49"/>
        <v>0</v>
      </c>
      <c r="J257" s="773" t="str">
        <f t="shared" si="50"/>
        <v/>
      </c>
      <c r="K257" s="731"/>
    </row>
    <row r="258" spans="1:11" ht="11.25" hidden="1" customHeight="1" x14ac:dyDescent="0.25">
      <c r="A258" s="36">
        <f>'Org structure'!E86</f>
        <v>0</v>
      </c>
      <c r="B258" s="368"/>
      <c r="C258" s="726"/>
      <c r="D258" s="727"/>
      <c r="E258" s="728"/>
      <c r="F258" s="729"/>
      <c r="G258" s="728"/>
      <c r="H258" s="729"/>
      <c r="I258" s="730">
        <f t="shared" si="49"/>
        <v>0</v>
      </c>
      <c r="J258" s="773" t="str">
        <f t="shared" si="50"/>
        <v/>
      </c>
      <c r="K258" s="731"/>
    </row>
    <row r="259" spans="1:11" ht="11.25" hidden="1" customHeight="1" x14ac:dyDescent="0.25">
      <c r="A259" s="36">
        <f>'Org structure'!E87</f>
        <v>0</v>
      </c>
      <c r="B259" s="368"/>
      <c r="C259" s="726"/>
      <c r="D259" s="727"/>
      <c r="E259" s="728"/>
      <c r="F259" s="729"/>
      <c r="G259" s="728"/>
      <c r="H259" s="729"/>
      <c r="I259" s="730">
        <f t="shared" si="49"/>
        <v>0</v>
      </c>
      <c r="J259" s="773" t="str">
        <f t="shared" si="50"/>
        <v/>
      </c>
      <c r="K259" s="731"/>
    </row>
    <row r="260" spans="1:11" ht="11.25" hidden="1" customHeight="1" x14ac:dyDescent="0.25">
      <c r="A260" s="36">
        <f>'Org structure'!E88</f>
        <v>0</v>
      </c>
      <c r="B260" s="368"/>
      <c r="C260" s="726"/>
      <c r="D260" s="727"/>
      <c r="E260" s="728"/>
      <c r="F260" s="729"/>
      <c r="G260" s="728"/>
      <c r="H260" s="729"/>
      <c r="I260" s="730">
        <f t="shared" si="49"/>
        <v>0</v>
      </c>
      <c r="J260" s="773" t="str">
        <f t="shared" si="50"/>
        <v/>
      </c>
      <c r="K260" s="731"/>
    </row>
    <row r="261" spans="1:11" ht="11.25" hidden="1" customHeight="1" x14ac:dyDescent="0.25">
      <c r="A261" s="36">
        <f>'Org structure'!E89</f>
        <v>0</v>
      </c>
      <c r="B261" s="368"/>
      <c r="C261" s="726"/>
      <c r="D261" s="727"/>
      <c r="E261" s="728"/>
      <c r="F261" s="729"/>
      <c r="G261" s="728"/>
      <c r="H261" s="729"/>
      <c r="I261" s="730">
        <f t="shared" si="49"/>
        <v>0</v>
      </c>
      <c r="J261" s="773" t="str">
        <f t="shared" si="50"/>
        <v/>
      </c>
      <c r="K261" s="731"/>
    </row>
    <row r="262" spans="1:11" ht="11.25" hidden="1" customHeight="1" x14ac:dyDescent="0.25">
      <c r="A262" s="88" t="str">
        <f>'Org structure'!A10</f>
        <v>Vote 9 - [NAME OF VOTE 9]</v>
      </c>
      <c r="B262" s="368"/>
      <c r="C262" s="721">
        <f t="shared" ref="C262:K262" si="60">SUM(C263:C272)</f>
        <v>0</v>
      </c>
      <c r="D262" s="722">
        <f t="shared" si="60"/>
        <v>0</v>
      </c>
      <c r="E262" s="723">
        <f t="shared" si="60"/>
        <v>0</v>
      </c>
      <c r="F262" s="724">
        <f t="shared" si="60"/>
        <v>0</v>
      </c>
      <c r="G262" s="723">
        <f t="shared" si="60"/>
        <v>0</v>
      </c>
      <c r="H262" s="724">
        <f t="shared" si="60"/>
        <v>0</v>
      </c>
      <c r="I262" s="730">
        <f t="shared" ref="I262:I325" si="61">G262-H262</f>
        <v>0</v>
      </c>
      <c r="J262" s="773" t="str">
        <f t="shared" ref="J262:J325" si="62">IF(I262=0,"",I262/H262)</f>
        <v/>
      </c>
      <c r="K262" s="725">
        <f t="shared" si="60"/>
        <v>0</v>
      </c>
    </row>
    <row r="263" spans="1:11" ht="11.25" hidden="1" customHeight="1" x14ac:dyDescent="0.25">
      <c r="A263" s="36" t="str">
        <f>'Org structure'!E91</f>
        <v>9.1 - [Name of sub-vote]</v>
      </c>
      <c r="B263" s="368"/>
      <c r="C263" s="726"/>
      <c r="D263" s="727"/>
      <c r="E263" s="728"/>
      <c r="F263" s="729"/>
      <c r="G263" s="728"/>
      <c r="H263" s="729"/>
      <c r="I263" s="730">
        <f t="shared" si="61"/>
        <v>0</v>
      </c>
      <c r="J263" s="773" t="str">
        <f t="shared" si="62"/>
        <v/>
      </c>
      <c r="K263" s="731"/>
    </row>
    <row r="264" spans="1:11" ht="11.25" hidden="1" customHeight="1" x14ac:dyDescent="0.25">
      <c r="A264" s="36">
        <f>'Org structure'!E92</f>
        <v>0</v>
      </c>
      <c r="B264" s="368"/>
      <c r="C264" s="726"/>
      <c r="D264" s="727"/>
      <c r="E264" s="728"/>
      <c r="F264" s="729"/>
      <c r="G264" s="728"/>
      <c r="H264" s="729"/>
      <c r="I264" s="730">
        <f t="shared" si="61"/>
        <v>0</v>
      </c>
      <c r="J264" s="773" t="str">
        <f t="shared" si="62"/>
        <v/>
      </c>
      <c r="K264" s="731"/>
    </row>
    <row r="265" spans="1:11" ht="11.25" hidden="1" customHeight="1" x14ac:dyDescent="0.25">
      <c r="A265" s="36">
        <f>'Org structure'!E93</f>
        <v>0</v>
      </c>
      <c r="B265" s="368"/>
      <c r="C265" s="726"/>
      <c r="D265" s="727"/>
      <c r="E265" s="728"/>
      <c r="F265" s="729"/>
      <c r="G265" s="728"/>
      <c r="H265" s="729"/>
      <c r="I265" s="730">
        <f t="shared" si="61"/>
        <v>0</v>
      </c>
      <c r="J265" s="773" t="str">
        <f t="shared" si="62"/>
        <v/>
      </c>
      <c r="K265" s="731"/>
    </row>
    <row r="266" spans="1:11" ht="11.25" hidden="1" customHeight="1" x14ac:dyDescent="0.25">
      <c r="A266" s="36">
        <f>'Org structure'!E94</f>
        <v>0</v>
      </c>
      <c r="B266" s="368"/>
      <c r="C266" s="726"/>
      <c r="D266" s="727"/>
      <c r="E266" s="728"/>
      <c r="F266" s="729"/>
      <c r="G266" s="728"/>
      <c r="H266" s="729"/>
      <c r="I266" s="730">
        <f t="shared" si="61"/>
        <v>0</v>
      </c>
      <c r="J266" s="773" t="str">
        <f t="shared" si="62"/>
        <v/>
      </c>
      <c r="K266" s="731"/>
    </row>
    <row r="267" spans="1:11" ht="11.25" hidden="1" customHeight="1" x14ac:dyDescent="0.25">
      <c r="A267" s="36">
        <f>'Org structure'!E95</f>
        <v>0</v>
      </c>
      <c r="B267" s="368"/>
      <c r="C267" s="726"/>
      <c r="D267" s="727"/>
      <c r="E267" s="728"/>
      <c r="F267" s="729"/>
      <c r="G267" s="728"/>
      <c r="H267" s="729"/>
      <c r="I267" s="730">
        <f t="shared" si="61"/>
        <v>0</v>
      </c>
      <c r="J267" s="773" t="str">
        <f t="shared" si="62"/>
        <v/>
      </c>
      <c r="K267" s="731"/>
    </row>
    <row r="268" spans="1:11" ht="11.25" hidden="1" customHeight="1" x14ac:dyDescent="0.25">
      <c r="A268" s="36">
        <f>'Org structure'!E96</f>
        <v>0</v>
      </c>
      <c r="B268" s="368"/>
      <c r="C268" s="726"/>
      <c r="D268" s="727"/>
      <c r="E268" s="728"/>
      <c r="F268" s="729"/>
      <c r="G268" s="728"/>
      <c r="H268" s="729"/>
      <c r="I268" s="730">
        <f t="shared" si="61"/>
        <v>0</v>
      </c>
      <c r="J268" s="773" t="str">
        <f t="shared" si="62"/>
        <v/>
      </c>
      <c r="K268" s="731"/>
    </row>
    <row r="269" spans="1:11" ht="11.25" hidden="1" customHeight="1" x14ac:dyDescent="0.25">
      <c r="A269" s="36">
        <f>'Org structure'!E97</f>
        <v>0</v>
      </c>
      <c r="B269" s="368"/>
      <c r="C269" s="726"/>
      <c r="D269" s="727"/>
      <c r="E269" s="728"/>
      <c r="F269" s="729"/>
      <c r="G269" s="728"/>
      <c r="H269" s="729"/>
      <c r="I269" s="730">
        <f t="shared" si="61"/>
        <v>0</v>
      </c>
      <c r="J269" s="773" t="str">
        <f t="shared" si="62"/>
        <v/>
      </c>
      <c r="K269" s="731"/>
    </row>
    <row r="270" spans="1:11" ht="11.25" hidden="1" customHeight="1" x14ac:dyDescent="0.25">
      <c r="A270" s="36">
        <f>'Org structure'!E98</f>
        <v>0</v>
      </c>
      <c r="B270" s="368"/>
      <c r="C270" s="726"/>
      <c r="D270" s="727"/>
      <c r="E270" s="728"/>
      <c r="F270" s="729"/>
      <c r="G270" s="728"/>
      <c r="H270" s="729"/>
      <c r="I270" s="730">
        <f t="shared" si="61"/>
        <v>0</v>
      </c>
      <c r="J270" s="773" t="str">
        <f t="shared" si="62"/>
        <v/>
      </c>
      <c r="K270" s="731"/>
    </row>
    <row r="271" spans="1:11" ht="11.25" hidden="1" customHeight="1" x14ac:dyDescent="0.25">
      <c r="A271" s="36">
        <f>'Org structure'!E99</f>
        <v>0</v>
      </c>
      <c r="B271" s="368"/>
      <c r="C271" s="726"/>
      <c r="D271" s="727"/>
      <c r="E271" s="728"/>
      <c r="F271" s="729"/>
      <c r="G271" s="728"/>
      <c r="H271" s="729"/>
      <c r="I271" s="730">
        <f t="shared" si="61"/>
        <v>0</v>
      </c>
      <c r="J271" s="773" t="str">
        <f t="shared" si="62"/>
        <v/>
      </c>
      <c r="K271" s="731"/>
    </row>
    <row r="272" spans="1:11" ht="11.25" hidden="1" customHeight="1" x14ac:dyDescent="0.25">
      <c r="A272" s="36">
        <f>'Org structure'!E100</f>
        <v>0</v>
      </c>
      <c r="B272" s="368"/>
      <c r="C272" s="726"/>
      <c r="D272" s="727"/>
      <c r="E272" s="728"/>
      <c r="F272" s="729"/>
      <c r="G272" s="728"/>
      <c r="H272" s="729"/>
      <c r="I272" s="730">
        <f t="shared" si="61"/>
        <v>0</v>
      </c>
      <c r="J272" s="773" t="str">
        <f t="shared" si="62"/>
        <v/>
      </c>
      <c r="K272" s="731"/>
    </row>
    <row r="273" spans="1:11" ht="11.25" hidden="1" customHeight="1" x14ac:dyDescent="0.25">
      <c r="A273" s="88" t="str">
        <f>'Org structure'!A11</f>
        <v>Vote 10 - [NAME OF VOTE 10]</v>
      </c>
      <c r="B273" s="368"/>
      <c r="C273" s="721">
        <f t="shared" ref="C273:K273" si="63">SUM(C274:C283)</f>
        <v>0</v>
      </c>
      <c r="D273" s="722">
        <f t="shared" si="63"/>
        <v>0</v>
      </c>
      <c r="E273" s="723">
        <f t="shared" si="63"/>
        <v>0</v>
      </c>
      <c r="F273" s="724">
        <f t="shared" si="63"/>
        <v>0</v>
      </c>
      <c r="G273" s="723">
        <f t="shared" si="63"/>
        <v>0</v>
      </c>
      <c r="H273" s="724">
        <f t="shared" si="63"/>
        <v>0</v>
      </c>
      <c r="I273" s="730">
        <f t="shared" si="61"/>
        <v>0</v>
      </c>
      <c r="J273" s="773" t="str">
        <f t="shared" si="62"/>
        <v/>
      </c>
      <c r="K273" s="725">
        <f t="shared" si="63"/>
        <v>0</v>
      </c>
    </row>
    <row r="274" spans="1:11" ht="11.25" hidden="1" customHeight="1" x14ac:dyDescent="0.25">
      <c r="A274" s="36" t="str">
        <f>'Org structure'!E102</f>
        <v>10.1 - [Name of sub-vote]</v>
      </c>
      <c r="B274" s="368"/>
      <c r="C274" s="726"/>
      <c r="D274" s="727"/>
      <c r="E274" s="728"/>
      <c r="F274" s="729"/>
      <c r="G274" s="728"/>
      <c r="H274" s="729"/>
      <c r="I274" s="730">
        <f t="shared" si="61"/>
        <v>0</v>
      </c>
      <c r="J274" s="773" t="str">
        <f t="shared" si="62"/>
        <v/>
      </c>
      <c r="K274" s="731"/>
    </row>
    <row r="275" spans="1:11" ht="11.25" hidden="1" customHeight="1" x14ac:dyDescent="0.25">
      <c r="A275" s="36">
        <f>'Org structure'!E103</f>
        <v>0</v>
      </c>
      <c r="B275" s="368"/>
      <c r="C275" s="726"/>
      <c r="D275" s="727"/>
      <c r="E275" s="728"/>
      <c r="F275" s="729"/>
      <c r="G275" s="728"/>
      <c r="H275" s="729"/>
      <c r="I275" s="730">
        <f t="shared" si="61"/>
        <v>0</v>
      </c>
      <c r="J275" s="773" t="str">
        <f t="shared" si="62"/>
        <v/>
      </c>
      <c r="K275" s="731"/>
    </row>
    <row r="276" spans="1:11" ht="11.25" hidden="1" customHeight="1" x14ac:dyDescent="0.25">
      <c r="A276" s="36">
        <f>'Org structure'!E104</f>
        <v>0</v>
      </c>
      <c r="B276" s="368"/>
      <c r="C276" s="726"/>
      <c r="D276" s="727"/>
      <c r="E276" s="728"/>
      <c r="F276" s="729"/>
      <c r="G276" s="728"/>
      <c r="H276" s="729"/>
      <c r="I276" s="730">
        <f t="shared" si="61"/>
        <v>0</v>
      </c>
      <c r="J276" s="773" t="str">
        <f t="shared" si="62"/>
        <v/>
      </c>
      <c r="K276" s="731"/>
    </row>
    <row r="277" spans="1:11" ht="11.25" hidden="1" customHeight="1" x14ac:dyDescent="0.25">
      <c r="A277" s="36">
        <f>'Org structure'!E105</f>
        <v>0</v>
      </c>
      <c r="B277" s="368"/>
      <c r="C277" s="726"/>
      <c r="D277" s="727"/>
      <c r="E277" s="728"/>
      <c r="F277" s="729"/>
      <c r="G277" s="728"/>
      <c r="H277" s="729"/>
      <c r="I277" s="730">
        <f t="shared" si="61"/>
        <v>0</v>
      </c>
      <c r="J277" s="773" t="str">
        <f t="shared" si="62"/>
        <v/>
      </c>
      <c r="K277" s="731"/>
    </row>
    <row r="278" spans="1:11" ht="11.25" hidden="1" customHeight="1" x14ac:dyDescent="0.25">
      <c r="A278" s="36">
        <f>'Org structure'!E106</f>
        <v>0</v>
      </c>
      <c r="B278" s="368"/>
      <c r="C278" s="726"/>
      <c r="D278" s="727"/>
      <c r="E278" s="728"/>
      <c r="F278" s="729"/>
      <c r="G278" s="728"/>
      <c r="H278" s="729"/>
      <c r="I278" s="730">
        <f t="shared" si="61"/>
        <v>0</v>
      </c>
      <c r="J278" s="773" t="str">
        <f t="shared" si="62"/>
        <v/>
      </c>
      <c r="K278" s="731"/>
    </row>
    <row r="279" spans="1:11" ht="11.25" hidden="1" customHeight="1" x14ac:dyDescent="0.25">
      <c r="A279" s="36">
        <f>'Org structure'!E107</f>
        <v>0</v>
      </c>
      <c r="B279" s="368"/>
      <c r="C279" s="726"/>
      <c r="D279" s="727"/>
      <c r="E279" s="728"/>
      <c r="F279" s="729"/>
      <c r="G279" s="728"/>
      <c r="H279" s="729"/>
      <c r="I279" s="730">
        <f t="shared" si="61"/>
        <v>0</v>
      </c>
      <c r="J279" s="773" t="str">
        <f t="shared" si="62"/>
        <v/>
      </c>
      <c r="K279" s="731"/>
    </row>
    <row r="280" spans="1:11" ht="11.25" hidden="1" customHeight="1" x14ac:dyDescent="0.25">
      <c r="A280" s="36">
        <f>'Org structure'!E108</f>
        <v>0</v>
      </c>
      <c r="B280" s="368"/>
      <c r="C280" s="726"/>
      <c r="D280" s="727"/>
      <c r="E280" s="728"/>
      <c r="F280" s="729"/>
      <c r="G280" s="728"/>
      <c r="H280" s="729"/>
      <c r="I280" s="730">
        <f t="shared" si="61"/>
        <v>0</v>
      </c>
      <c r="J280" s="773" t="str">
        <f t="shared" si="62"/>
        <v/>
      </c>
      <c r="K280" s="731"/>
    </row>
    <row r="281" spans="1:11" ht="11.25" hidden="1" customHeight="1" x14ac:dyDescent="0.25">
      <c r="A281" s="36">
        <f>'Org structure'!E109</f>
        <v>0</v>
      </c>
      <c r="B281" s="368"/>
      <c r="C281" s="726"/>
      <c r="D281" s="727"/>
      <c r="E281" s="728"/>
      <c r="F281" s="729"/>
      <c r="G281" s="728"/>
      <c r="H281" s="729"/>
      <c r="I281" s="730">
        <f t="shared" si="61"/>
        <v>0</v>
      </c>
      <c r="J281" s="773" t="str">
        <f t="shared" si="62"/>
        <v/>
      </c>
      <c r="K281" s="731"/>
    </row>
    <row r="282" spans="1:11" ht="11.25" hidden="1" customHeight="1" x14ac:dyDescent="0.25">
      <c r="A282" s="36">
        <f>'Org structure'!E110</f>
        <v>0</v>
      </c>
      <c r="B282" s="368"/>
      <c r="C282" s="726"/>
      <c r="D282" s="727"/>
      <c r="E282" s="728"/>
      <c r="F282" s="729"/>
      <c r="G282" s="728"/>
      <c r="H282" s="729"/>
      <c r="I282" s="730">
        <f t="shared" si="61"/>
        <v>0</v>
      </c>
      <c r="J282" s="773" t="str">
        <f t="shared" si="62"/>
        <v/>
      </c>
      <c r="K282" s="731"/>
    </row>
    <row r="283" spans="1:11" ht="11.25" hidden="1" customHeight="1" x14ac:dyDescent="0.25">
      <c r="A283" s="36">
        <f>'Org structure'!E111</f>
        <v>0</v>
      </c>
      <c r="B283" s="368"/>
      <c r="C283" s="726"/>
      <c r="D283" s="727"/>
      <c r="E283" s="728"/>
      <c r="F283" s="729"/>
      <c r="G283" s="728"/>
      <c r="H283" s="729"/>
      <c r="I283" s="730">
        <f t="shared" si="61"/>
        <v>0</v>
      </c>
      <c r="J283" s="773" t="str">
        <f t="shared" si="62"/>
        <v/>
      </c>
      <c r="K283" s="731"/>
    </row>
    <row r="284" spans="1:11" ht="11.25" hidden="1" customHeight="1" x14ac:dyDescent="0.25">
      <c r="A284" s="88" t="str">
        <f>'Org structure'!A12</f>
        <v>Vote 11 - [NAME OF VOTE 11]</v>
      </c>
      <c r="B284" s="368"/>
      <c r="C284" s="721">
        <f t="shared" ref="C284:K284" si="64">SUM(C285:C294)</f>
        <v>0</v>
      </c>
      <c r="D284" s="722">
        <f t="shared" si="64"/>
        <v>0</v>
      </c>
      <c r="E284" s="723">
        <f t="shared" si="64"/>
        <v>0</v>
      </c>
      <c r="F284" s="724">
        <f t="shared" si="64"/>
        <v>0</v>
      </c>
      <c r="G284" s="723">
        <f t="shared" si="64"/>
        <v>0</v>
      </c>
      <c r="H284" s="724">
        <f t="shared" si="64"/>
        <v>0</v>
      </c>
      <c r="I284" s="730">
        <f t="shared" si="61"/>
        <v>0</v>
      </c>
      <c r="J284" s="773" t="str">
        <f t="shared" si="62"/>
        <v/>
      </c>
      <c r="K284" s="725">
        <f t="shared" si="64"/>
        <v>0</v>
      </c>
    </row>
    <row r="285" spans="1:11" ht="11.25" hidden="1" customHeight="1" x14ac:dyDescent="0.25">
      <c r="A285" s="36" t="str">
        <f>'Org structure'!E113</f>
        <v>11.1 - [Name of sub-vote]</v>
      </c>
      <c r="B285" s="368"/>
      <c r="C285" s="726"/>
      <c r="D285" s="727"/>
      <c r="E285" s="728"/>
      <c r="F285" s="729"/>
      <c r="G285" s="728"/>
      <c r="H285" s="729"/>
      <c r="I285" s="730">
        <f t="shared" si="61"/>
        <v>0</v>
      </c>
      <c r="J285" s="773" t="str">
        <f t="shared" si="62"/>
        <v/>
      </c>
      <c r="K285" s="731"/>
    </row>
    <row r="286" spans="1:11" ht="11.25" hidden="1" customHeight="1" x14ac:dyDescent="0.25">
      <c r="A286" s="36">
        <f>'Org structure'!E114</f>
        <v>0</v>
      </c>
      <c r="B286" s="368"/>
      <c r="C286" s="726"/>
      <c r="D286" s="727"/>
      <c r="E286" s="728"/>
      <c r="F286" s="729"/>
      <c r="G286" s="728"/>
      <c r="H286" s="729"/>
      <c r="I286" s="730">
        <f t="shared" si="61"/>
        <v>0</v>
      </c>
      <c r="J286" s="773" t="str">
        <f t="shared" si="62"/>
        <v/>
      </c>
      <c r="K286" s="731"/>
    </row>
    <row r="287" spans="1:11" ht="11.25" hidden="1" customHeight="1" x14ac:dyDescent="0.25">
      <c r="A287" s="36">
        <f>'Org structure'!E115</f>
        <v>0</v>
      </c>
      <c r="B287" s="368"/>
      <c r="C287" s="726"/>
      <c r="D287" s="727"/>
      <c r="E287" s="728"/>
      <c r="F287" s="729"/>
      <c r="G287" s="728"/>
      <c r="H287" s="729"/>
      <c r="I287" s="730">
        <f t="shared" si="61"/>
        <v>0</v>
      </c>
      <c r="J287" s="773" t="str">
        <f t="shared" si="62"/>
        <v/>
      </c>
      <c r="K287" s="731"/>
    </row>
    <row r="288" spans="1:11" ht="11.25" hidden="1" customHeight="1" x14ac:dyDescent="0.25">
      <c r="A288" s="36">
        <f>'Org structure'!E116</f>
        <v>0</v>
      </c>
      <c r="B288" s="368"/>
      <c r="C288" s="726"/>
      <c r="D288" s="727"/>
      <c r="E288" s="728"/>
      <c r="F288" s="729"/>
      <c r="G288" s="728"/>
      <c r="H288" s="729"/>
      <c r="I288" s="730">
        <f t="shared" si="61"/>
        <v>0</v>
      </c>
      <c r="J288" s="773" t="str">
        <f t="shared" si="62"/>
        <v/>
      </c>
      <c r="K288" s="731"/>
    </row>
    <row r="289" spans="1:11" ht="11.25" hidden="1" customHeight="1" x14ac:dyDescent="0.25">
      <c r="A289" s="36">
        <f>'Org structure'!E117</f>
        <v>0</v>
      </c>
      <c r="B289" s="368"/>
      <c r="C289" s="726"/>
      <c r="D289" s="727"/>
      <c r="E289" s="728"/>
      <c r="F289" s="729"/>
      <c r="G289" s="728"/>
      <c r="H289" s="729"/>
      <c r="I289" s="730">
        <f t="shared" si="61"/>
        <v>0</v>
      </c>
      <c r="J289" s="773" t="str">
        <f t="shared" si="62"/>
        <v/>
      </c>
      <c r="K289" s="731"/>
    </row>
    <row r="290" spans="1:11" ht="11.25" hidden="1" customHeight="1" x14ac:dyDescent="0.25">
      <c r="A290" s="36">
        <f>'Org structure'!E118</f>
        <v>0</v>
      </c>
      <c r="B290" s="368"/>
      <c r="C290" s="726"/>
      <c r="D290" s="727"/>
      <c r="E290" s="728"/>
      <c r="F290" s="729"/>
      <c r="G290" s="728"/>
      <c r="H290" s="729"/>
      <c r="I290" s="730">
        <f t="shared" si="61"/>
        <v>0</v>
      </c>
      <c r="J290" s="773" t="str">
        <f t="shared" si="62"/>
        <v/>
      </c>
      <c r="K290" s="731"/>
    </row>
    <row r="291" spans="1:11" ht="11.25" hidden="1" customHeight="1" x14ac:dyDescent="0.25">
      <c r="A291" s="36">
        <f>'Org structure'!E119</f>
        <v>0</v>
      </c>
      <c r="B291" s="368"/>
      <c r="C291" s="726"/>
      <c r="D291" s="727"/>
      <c r="E291" s="728"/>
      <c r="F291" s="729"/>
      <c r="G291" s="728"/>
      <c r="H291" s="729"/>
      <c r="I291" s="730">
        <f t="shared" si="61"/>
        <v>0</v>
      </c>
      <c r="J291" s="773" t="str">
        <f t="shared" si="62"/>
        <v/>
      </c>
      <c r="K291" s="731"/>
    </row>
    <row r="292" spans="1:11" ht="11.25" hidden="1" customHeight="1" x14ac:dyDescent="0.25">
      <c r="A292" s="36">
        <f>'Org structure'!E120</f>
        <v>0</v>
      </c>
      <c r="B292" s="368"/>
      <c r="C292" s="726"/>
      <c r="D292" s="727"/>
      <c r="E292" s="728"/>
      <c r="F292" s="729"/>
      <c r="G292" s="728"/>
      <c r="H292" s="729"/>
      <c r="I292" s="730">
        <f t="shared" si="61"/>
        <v>0</v>
      </c>
      <c r="J292" s="773" t="str">
        <f t="shared" si="62"/>
        <v/>
      </c>
      <c r="K292" s="731"/>
    </row>
    <row r="293" spans="1:11" ht="11.25" hidden="1" customHeight="1" x14ac:dyDescent="0.25">
      <c r="A293" s="36">
        <f>'Org structure'!E121</f>
        <v>0</v>
      </c>
      <c r="B293" s="368"/>
      <c r="C293" s="726"/>
      <c r="D293" s="727"/>
      <c r="E293" s="728"/>
      <c r="F293" s="729"/>
      <c r="G293" s="728"/>
      <c r="H293" s="729"/>
      <c r="I293" s="730">
        <f t="shared" si="61"/>
        <v>0</v>
      </c>
      <c r="J293" s="773" t="str">
        <f t="shared" si="62"/>
        <v/>
      </c>
      <c r="K293" s="731"/>
    </row>
    <row r="294" spans="1:11" ht="11.25" hidden="1" customHeight="1" x14ac:dyDescent="0.25">
      <c r="A294" s="36">
        <f>'Org structure'!E122</f>
        <v>0</v>
      </c>
      <c r="B294" s="368"/>
      <c r="C294" s="726"/>
      <c r="D294" s="727"/>
      <c r="E294" s="728"/>
      <c r="F294" s="729"/>
      <c r="G294" s="728"/>
      <c r="H294" s="729"/>
      <c r="I294" s="730">
        <f t="shared" si="61"/>
        <v>0</v>
      </c>
      <c r="J294" s="773" t="str">
        <f t="shared" si="62"/>
        <v/>
      </c>
      <c r="K294" s="731"/>
    </row>
    <row r="295" spans="1:11" ht="11.25" hidden="1" customHeight="1" x14ac:dyDescent="0.25">
      <c r="A295" s="88" t="str">
        <f>'Org structure'!A13</f>
        <v>Vote 12 - [NAME OF VOTE 12]</v>
      </c>
      <c r="B295" s="368"/>
      <c r="C295" s="721">
        <f t="shared" ref="C295:K295" si="65">SUM(C296:C305)</f>
        <v>0</v>
      </c>
      <c r="D295" s="722">
        <f t="shared" si="65"/>
        <v>0</v>
      </c>
      <c r="E295" s="723">
        <f t="shared" si="65"/>
        <v>0</v>
      </c>
      <c r="F295" s="724">
        <f t="shared" si="65"/>
        <v>0</v>
      </c>
      <c r="G295" s="723">
        <f t="shared" si="65"/>
        <v>0</v>
      </c>
      <c r="H295" s="724">
        <f t="shared" si="65"/>
        <v>0</v>
      </c>
      <c r="I295" s="730">
        <f t="shared" si="61"/>
        <v>0</v>
      </c>
      <c r="J295" s="773" t="str">
        <f t="shared" si="62"/>
        <v/>
      </c>
      <c r="K295" s="725">
        <f t="shared" si="65"/>
        <v>0</v>
      </c>
    </row>
    <row r="296" spans="1:11" ht="11.25" hidden="1" customHeight="1" x14ac:dyDescent="0.25">
      <c r="A296" s="36" t="str">
        <f>'Org structure'!E124</f>
        <v>12.1 - [Name of sub-vote]</v>
      </c>
      <c r="B296" s="368"/>
      <c r="C296" s="726"/>
      <c r="D296" s="727"/>
      <c r="E296" s="728"/>
      <c r="F296" s="729"/>
      <c r="G296" s="728"/>
      <c r="H296" s="729"/>
      <c r="I296" s="730">
        <f t="shared" si="61"/>
        <v>0</v>
      </c>
      <c r="J296" s="773" t="str">
        <f t="shared" si="62"/>
        <v/>
      </c>
      <c r="K296" s="731"/>
    </row>
    <row r="297" spans="1:11" ht="11.25" hidden="1" customHeight="1" x14ac:dyDescent="0.25">
      <c r="A297" s="36">
        <f>'Org structure'!E125</f>
        <v>0</v>
      </c>
      <c r="B297" s="368"/>
      <c r="C297" s="726"/>
      <c r="D297" s="727"/>
      <c r="E297" s="728"/>
      <c r="F297" s="729"/>
      <c r="G297" s="728"/>
      <c r="H297" s="729"/>
      <c r="I297" s="730">
        <f t="shared" si="61"/>
        <v>0</v>
      </c>
      <c r="J297" s="773" t="str">
        <f t="shared" si="62"/>
        <v/>
      </c>
      <c r="K297" s="731"/>
    </row>
    <row r="298" spans="1:11" ht="11.25" hidden="1" customHeight="1" x14ac:dyDescent="0.25">
      <c r="A298" s="36">
        <f>'Org structure'!E126</f>
        <v>0</v>
      </c>
      <c r="B298" s="368"/>
      <c r="C298" s="726"/>
      <c r="D298" s="727"/>
      <c r="E298" s="728"/>
      <c r="F298" s="729"/>
      <c r="G298" s="728"/>
      <c r="H298" s="729"/>
      <c r="I298" s="730">
        <f t="shared" si="61"/>
        <v>0</v>
      </c>
      <c r="J298" s="773" t="str">
        <f t="shared" si="62"/>
        <v/>
      </c>
      <c r="K298" s="731"/>
    </row>
    <row r="299" spans="1:11" ht="11.25" hidden="1" customHeight="1" x14ac:dyDescent="0.25">
      <c r="A299" s="36">
        <f>'Org structure'!E127</f>
        <v>0</v>
      </c>
      <c r="B299" s="368"/>
      <c r="C299" s="726"/>
      <c r="D299" s="727"/>
      <c r="E299" s="728"/>
      <c r="F299" s="729"/>
      <c r="G299" s="728"/>
      <c r="H299" s="729"/>
      <c r="I299" s="730">
        <f t="shared" si="61"/>
        <v>0</v>
      </c>
      <c r="J299" s="773" t="str">
        <f t="shared" si="62"/>
        <v/>
      </c>
      <c r="K299" s="731"/>
    </row>
    <row r="300" spans="1:11" ht="11.25" hidden="1" customHeight="1" x14ac:dyDescent="0.25">
      <c r="A300" s="36">
        <f>'Org structure'!E128</f>
        <v>0</v>
      </c>
      <c r="B300" s="368"/>
      <c r="C300" s="726"/>
      <c r="D300" s="727"/>
      <c r="E300" s="728"/>
      <c r="F300" s="729"/>
      <c r="G300" s="728"/>
      <c r="H300" s="729"/>
      <c r="I300" s="730">
        <f t="shared" si="61"/>
        <v>0</v>
      </c>
      <c r="J300" s="773" t="str">
        <f t="shared" si="62"/>
        <v/>
      </c>
      <c r="K300" s="731"/>
    </row>
    <row r="301" spans="1:11" ht="11.25" hidden="1" customHeight="1" x14ac:dyDescent="0.25">
      <c r="A301" s="36">
        <f>'Org structure'!E129</f>
        <v>0</v>
      </c>
      <c r="B301" s="368"/>
      <c r="C301" s="726"/>
      <c r="D301" s="727"/>
      <c r="E301" s="728"/>
      <c r="F301" s="729"/>
      <c r="G301" s="728"/>
      <c r="H301" s="729"/>
      <c r="I301" s="730">
        <f t="shared" si="61"/>
        <v>0</v>
      </c>
      <c r="J301" s="773" t="str">
        <f t="shared" si="62"/>
        <v/>
      </c>
      <c r="K301" s="731"/>
    </row>
    <row r="302" spans="1:11" ht="11.25" hidden="1" customHeight="1" x14ac:dyDescent="0.25">
      <c r="A302" s="36">
        <f>'Org structure'!E130</f>
        <v>0</v>
      </c>
      <c r="B302" s="368"/>
      <c r="C302" s="726"/>
      <c r="D302" s="727"/>
      <c r="E302" s="728"/>
      <c r="F302" s="729"/>
      <c r="G302" s="728"/>
      <c r="H302" s="729"/>
      <c r="I302" s="730">
        <f t="shared" si="61"/>
        <v>0</v>
      </c>
      <c r="J302" s="773" t="str">
        <f t="shared" si="62"/>
        <v/>
      </c>
      <c r="K302" s="731"/>
    </row>
    <row r="303" spans="1:11" ht="11.25" hidden="1" customHeight="1" x14ac:dyDescent="0.25">
      <c r="A303" s="36">
        <f>'Org structure'!E131</f>
        <v>0</v>
      </c>
      <c r="B303" s="368"/>
      <c r="C303" s="726"/>
      <c r="D303" s="727"/>
      <c r="E303" s="728"/>
      <c r="F303" s="729"/>
      <c r="G303" s="728"/>
      <c r="H303" s="729"/>
      <c r="I303" s="730">
        <f t="shared" si="61"/>
        <v>0</v>
      </c>
      <c r="J303" s="773" t="str">
        <f t="shared" si="62"/>
        <v/>
      </c>
      <c r="K303" s="731"/>
    </row>
    <row r="304" spans="1:11" ht="11.25" hidden="1" customHeight="1" x14ac:dyDescent="0.25">
      <c r="A304" s="36">
        <f>'Org structure'!E132</f>
        <v>0</v>
      </c>
      <c r="B304" s="368"/>
      <c r="C304" s="726"/>
      <c r="D304" s="727"/>
      <c r="E304" s="728"/>
      <c r="F304" s="729"/>
      <c r="G304" s="728"/>
      <c r="H304" s="729"/>
      <c r="I304" s="730">
        <f t="shared" si="61"/>
        <v>0</v>
      </c>
      <c r="J304" s="773" t="str">
        <f t="shared" si="62"/>
        <v/>
      </c>
      <c r="K304" s="731"/>
    </row>
    <row r="305" spans="1:11" ht="11.25" hidden="1" customHeight="1" x14ac:dyDescent="0.25">
      <c r="A305" s="36">
        <f>'Org structure'!E133</f>
        <v>0</v>
      </c>
      <c r="B305" s="368"/>
      <c r="C305" s="726"/>
      <c r="D305" s="727"/>
      <c r="E305" s="728"/>
      <c r="F305" s="729"/>
      <c r="G305" s="728"/>
      <c r="H305" s="729"/>
      <c r="I305" s="730">
        <f t="shared" si="61"/>
        <v>0</v>
      </c>
      <c r="J305" s="773" t="str">
        <f t="shared" si="62"/>
        <v/>
      </c>
      <c r="K305" s="731"/>
    </row>
    <row r="306" spans="1:11" ht="11.25" hidden="1" customHeight="1" x14ac:dyDescent="0.25">
      <c r="A306" s="88" t="str">
        <f>'Org structure'!A14</f>
        <v>Vote 13 - [NAME OF VOTE 13]</v>
      </c>
      <c r="B306" s="368"/>
      <c r="C306" s="721">
        <f t="shared" ref="C306:K306" si="66">SUM(C307:C316)</f>
        <v>0</v>
      </c>
      <c r="D306" s="722">
        <f t="shared" si="66"/>
        <v>0</v>
      </c>
      <c r="E306" s="723">
        <f t="shared" si="66"/>
        <v>0</v>
      </c>
      <c r="F306" s="724">
        <f t="shared" si="66"/>
        <v>0</v>
      </c>
      <c r="G306" s="723">
        <f t="shared" si="66"/>
        <v>0</v>
      </c>
      <c r="H306" s="724">
        <f t="shared" si="66"/>
        <v>0</v>
      </c>
      <c r="I306" s="730">
        <f t="shared" si="61"/>
        <v>0</v>
      </c>
      <c r="J306" s="773" t="str">
        <f t="shared" si="62"/>
        <v/>
      </c>
      <c r="K306" s="725">
        <f t="shared" si="66"/>
        <v>0</v>
      </c>
    </row>
    <row r="307" spans="1:11" ht="11.25" hidden="1" customHeight="1" x14ac:dyDescent="0.25">
      <c r="A307" s="36" t="str">
        <f>'Org structure'!E135</f>
        <v>13.1 - [Name of sub-vote]</v>
      </c>
      <c r="B307" s="368"/>
      <c r="C307" s="726"/>
      <c r="D307" s="727"/>
      <c r="E307" s="728"/>
      <c r="F307" s="729"/>
      <c r="G307" s="728"/>
      <c r="H307" s="729"/>
      <c r="I307" s="730">
        <f t="shared" si="61"/>
        <v>0</v>
      </c>
      <c r="J307" s="773" t="str">
        <f t="shared" si="62"/>
        <v/>
      </c>
      <c r="K307" s="731"/>
    </row>
    <row r="308" spans="1:11" ht="11.25" hidden="1" customHeight="1" x14ac:dyDescent="0.25">
      <c r="A308" s="36">
        <f>'Org structure'!E136</f>
        <v>0</v>
      </c>
      <c r="B308" s="368"/>
      <c r="C308" s="726"/>
      <c r="D308" s="727"/>
      <c r="E308" s="728"/>
      <c r="F308" s="729"/>
      <c r="G308" s="728"/>
      <c r="H308" s="729"/>
      <c r="I308" s="730">
        <f t="shared" si="61"/>
        <v>0</v>
      </c>
      <c r="J308" s="773" t="str">
        <f t="shared" si="62"/>
        <v/>
      </c>
      <c r="K308" s="731"/>
    </row>
    <row r="309" spans="1:11" ht="11.25" hidden="1" customHeight="1" x14ac:dyDescent="0.25">
      <c r="A309" s="36">
        <f>'Org structure'!E137</f>
        <v>0</v>
      </c>
      <c r="B309" s="368"/>
      <c r="C309" s="726"/>
      <c r="D309" s="727"/>
      <c r="E309" s="728"/>
      <c r="F309" s="729"/>
      <c r="G309" s="728"/>
      <c r="H309" s="729"/>
      <c r="I309" s="730">
        <f t="shared" si="61"/>
        <v>0</v>
      </c>
      <c r="J309" s="773" t="str">
        <f t="shared" si="62"/>
        <v/>
      </c>
      <c r="K309" s="731"/>
    </row>
    <row r="310" spans="1:11" ht="11.25" hidden="1" customHeight="1" x14ac:dyDescent="0.25">
      <c r="A310" s="36">
        <f>'Org structure'!E138</f>
        <v>0</v>
      </c>
      <c r="B310" s="368"/>
      <c r="C310" s="726"/>
      <c r="D310" s="727"/>
      <c r="E310" s="728"/>
      <c r="F310" s="729"/>
      <c r="G310" s="728"/>
      <c r="H310" s="729"/>
      <c r="I310" s="730">
        <f t="shared" si="61"/>
        <v>0</v>
      </c>
      <c r="J310" s="773" t="str">
        <f t="shared" si="62"/>
        <v/>
      </c>
      <c r="K310" s="731"/>
    </row>
    <row r="311" spans="1:11" ht="11.25" hidden="1" customHeight="1" x14ac:dyDescent="0.25">
      <c r="A311" s="36">
        <f>'Org structure'!E139</f>
        <v>0</v>
      </c>
      <c r="B311" s="368"/>
      <c r="C311" s="726"/>
      <c r="D311" s="727"/>
      <c r="E311" s="728"/>
      <c r="F311" s="729"/>
      <c r="G311" s="728"/>
      <c r="H311" s="729"/>
      <c r="I311" s="730">
        <f t="shared" si="61"/>
        <v>0</v>
      </c>
      <c r="J311" s="773" t="str">
        <f t="shared" si="62"/>
        <v/>
      </c>
      <c r="K311" s="731"/>
    </row>
    <row r="312" spans="1:11" ht="11.25" hidden="1" customHeight="1" x14ac:dyDescent="0.25">
      <c r="A312" s="36">
        <f>'Org structure'!E140</f>
        <v>0</v>
      </c>
      <c r="B312" s="368"/>
      <c r="C312" s="726"/>
      <c r="D312" s="727"/>
      <c r="E312" s="728"/>
      <c r="F312" s="729"/>
      <c r="G312" s="728"/>
      <c r="H312" s="729"/>
      <c r="I312" s="730">
        <f t="shared" si="61"/>
        <v>0</v>
      </c>
      <c r="J312" s="773" t="str">
        <f t="shared" si="62"/>
        <v/>
      </c>
      <c r="K312" s="731"/>
    </row>
    <row r="313" spans="1:11" ht="11.25" hidden="1" customHeight="1" x14ac:dyDescent="0.25">
      <c r="A313" s="36">
        <f>'Org structure'!E141</f>
        <v>0</v>
      </c>
      <c r="B313" s="368"/>
      <c r="C313" s="726"/>
      <c r="D313" s="727"/>
      <c r="E313" s="728"/>
      <c r="F313" s="729"/>
      <c r="G313" s="728"/>
      <c r="H313" s="729"/>
      <c r="I313" s="730">
        <f t="shared" si="61"/>
        <v>0</v>
      </c>
      <c r="J313" s="773" t="str">
        <f t="shared" si="62"/>
        <v/>
      </c>
      <c r="K313" s="731"/>
    </row>
    <row r="314" spans="1:11" ht="11.25" hidden="1" customHeight="1" x14ac:dyDescent="0.25">
      <c r="A314" s="36">
        <f>'Org structure'!E142</f>
        <v>0</v>
      </c>
      <c r="B314" s="368"/>
      <c r="C314" s="726"/>
      <c r="D314" s="727"/>
      <c r="E314" s="728"/>
      <c r="F314" s="729"/>
      <c r="G314" s="728"/>
      <c r="H314" s="729"/>
      <c r="I314" s="730">
        <f t="shared" si="61"/>
        <v>0</v>
      </c>
      <c r="J314" s="773" t="str">
        <f t="shared" si="62"/>
        <v/>
      </c>
      <c r="K314" s="731"/>
    </row>
    <row r="315" spans="1:11" ht="11.25" hidden="1" customHeight="1" x14ac:dyDescent="0.25">
      <c r="A315" s="36">
        <f>'Org structure'!E143</f>
        <v>0</v>
      </c>
      <c r="B315" s="368"/>
      <c r="C315" s="726"/>
      <c r="D315" s="727"/>
      <c r="E315" s="728"/>
      <c r="F315" s="729"/>
      <c r="G315" s="728"/>
      <c r="H315" s="729"/>
      <c r="I315" s="730">
        <f t="shared" si="61"/>
        <v>0</v>
      </c>
      <c r="J315" s="773" t="str">
        <f t="shared" si="62"/>
        <v/>
      </c>
      <c r="K315" s="731"/>
    </row>
    <row r="316" spans="1:11" ht="11.25" hidden="1" customHeight="1" x14ac:dyDescent="0.25">
      <c r="A316" s="36">
        <f>'Org structure'!E144</f>
        <v>0</v>
      </c>
      <c r="B316" s="368"/>
      <c r="C316" s="726"/>
      <c r="D316" s="727"/>
      <c r="E316" s="728"/>
      <c r="F316" s="729"/>
      <c r="G316" s="728"/>
      <c r="H316" s="729"/>
      <c r="I316" s="730">
        <f t="shared" si="61"/>
        <v>0</v>
      </c>
      <c r="J316" s="773" t="str">
        <f t="shared" si="62"/>
        <v/>
      </c>
      <c r="K316" s="731"/>
    </row>
    <row r="317" spans="1:11" ht="11.25" hidden="1" customHeight="1" x14ac:dyDescent="0.25">
      <c r="A317" s="88" t="str">
        <f>'Org structure'!A15</f>
        <v>Vote 14 - [NAME OF VOTE 14]</v>
      </c>
      <c r="B317" s="368"/>
      <c r="C317" s="721">
        <f t="shared" ref="C317:K317" si="67">SUM(C318:C327)</f>
        <v>0</v>
      </c>
      <c r="D317" s="722">
        <f t="shared" si="67"/>
        <v>0</v>
      </c>
      <c r="E317" s="723">
        <f t="shared" si="67"/>
        <v>0</v>
      </c>
      <c r="F317" s="724">
        <f t="shared" si="67"/>
        <v>0</v>
      </c>
      <c r="G317" s="723">
        <f t="shared" si="67"/>
        <v>0</v>
      </c>
      <c r="H317" s="724">
        <f t="shared" si="67"/>
        <v>0</v>
      </c>
      <c r="I317" s="730">
        <f t="shared" si="61"/>
        <v>0</v>
      </c>
      <c r="J317" s="773" t="str">
        <f t="shared" si="62"/>
        <v/>
      </c>
      <c r="K317" s="725">
        <f t="shared" si="67"/>
        <v>0</v>
      </c>
    </row>
    <row r="318" spans="1:11" ht="11.25" hidden="1" customHeight="1" x14ac:dyDescent="0.25">
      <c r="A318" s="36" t="str">
        <f>'Org structure'!E146</f>
        <v>14.1 - [Name of sub-vote]</v>
      </c>
      <c r="B318" s="368"/>
      <c r="C318" s="726"/>
      <c r="D318" s="727"/>
      <c r="E318" s="728"/>
      <c r="F318" s="729"/>
      <c r="G318" s="728"/>
      <c r="H318" s="729"/>
      <c r="I318" s="730">
        <f t="shared" si="61"/>
        <v>0</v>
      </c>
      <c r="J318" s="773" t="str">
        <f t="shared" si="62"/>
        <v/>
      </c>
      <c r="K318" s="731"/>
    </row>
    <row r="319" spans="1:11" ht="11.25" hidden="1" customHeight="1" x14ac:dyDescent="0.25">
      <c r="A319" s="36">
        <f>'Org structure'!E147</f>
        <v>0</v>
      </c>
      <c r="B319" s="368"/>
      <c r="C319" s="726"/>
      <c r="D319" s="727"/>
      <c r="E319" s="728"/>
      <c r="F319" s="729"/>
      <c r="G319" s="728"/>
      <c r="H319" s="729"/>
      <c r="I319" s="730">
        <f t="shared" si="61"/>
        <v>0</v>
      </c>
      <c r="J319" s="773" t="str">
        <f t="shared" si="62"/>
        <v/>
      </c>
      <c r="K319" s="731"/>
    </row>
    <row r="320" spans="1:11" ht="11.25" hidden="1" customHeight="1" x14ac:dyDescent="0.25">
      <c r="A320" s="36">
        <f>'Org structure'!E148</f>
        <v>0</v>
      </c>
      <c r="B320" s="368"/>
      <c r="C320" s="726"/>
      <c r="D320" s="727"/>
      <c r="E320" s="728"/>
      <c r="F320" s="729"/>
      <c r="G320" s="728"/>
      <c r="H320" s="729"/>
      <c r="I320" s="730">
        <f t="shared" si="61"/>
        <v>0</v>
      </c>
      <c r="J320" s="773" t="str">
        <f t="shared" si="62"/>
        <v/>
      </c>
      <c r="K320" s="731"/>
    </row>
    <row r="321" spans="1:11" ht="11.25" hidden="1" customHeight="1" x14ac:dyDescent="0.25">
      <c r="A321" s="36">
        <f>'Org structure'!E149</f>
        <v>0</v>
      </c>
      <c r="B321" s="368"/>
      <c r="C321" s="726"/>
      <c r="D321" s="727"/>
      <c r="E321" s="728"/>
      <c r="F321" s="729"/>
      <c r="G321" s="728"/>
      <c r="H321" s="729"/>
      <c r="I321" s="730">
        <f t="shared" si="61"/>
        <v>0</v>
      </c>
      <c r="J321" s="773" t="str">
        <f t="shared" si="62"/>
        <v/>
      </c>
      <c r="K321" s="731"/>
    </row>
    <row r="322" spans="1:11" ht="11.25" hidden="1" customHeight="1" x14ac:dyDescent="0.25">
      <c r="A322" s="36">
        <f>'Org structure'!E150</f>
        <v>0</v>
      </c>
      <c r="B322" s="368"/>
      <c r="C322" s="726"/>
      <c r="D322" s="727"/>
      <c r="E322" s="728"/>
      <c r="F322" s="729"/>
      <c r="G322" s="728"/>
      <c r="H322" s="729"/>
      <c r="I322" s="730">
        <f t="shared" si="61"/>
        <v>0</v>
      </c>
      <c r="J322" s="773" t="str">
        <f t="shared" si="62"/>
        <v/>
      </c>
      <c r="K322" s="731"/>
    </row>
    <row r="323" spans="1:11" ht="11.25" hidden="1" customHeight="1" x14ac:dyDescent="0.25">
      <c r="A323" s="36">
        <f>'Org structure'!E151</f>
        <v>0</v>
      </c>
      <c r="B323" s="368"/>
      <c r="C323" s="726"/>
      <c r="D323" s="727"/>
      <c r="E323" s="728"/>
      <c r="F323" s="729"/>
      <c r="G323" s="728"/>
      <c r="H323" s="729"/>
      <c r="I323" s="730">
        <f t="shared" si="61"/>
        <v>0</v>
      </c>
      <c r="J323" s="773" t="str">
        <f t="shared" si="62"/>
        <v/>
      </c>
      <c r="K323" s="731"/>
    </row>
    <row r="324" spans="1:11" ht="11.25" hidden="1" customHeight="1" x14ac:dyDescent="0.25">
      <c r="A324" s="36">
        <f>'Org structure'!E152</f>
        <v>0</v>
      </c>
      <c r="B324" s="368"/>
      <c r="C324" s="726"/>
      <c r="D324" s="727"/>
      <c r="E324" s="728"/>
      <c r="F324" s="729"/>
      <c r="G324" s="728"/>
      <c r="H324" s="729"/>
      <c r="I324" s="730">
        <f t="shared" si="61"/>
        <v>0</v>
      </c>
      <c r="J324" s="773" t="str">
        <f t="shared" si="62"/>
        <v/>
      </c>
      <c r="K324" s="731"/>
    </row>
    <row r="325" spans="1:11" ht="11.25" hidden="1" customHeight="1" x14ac:dyDescent="0.25">
      <c r="A325" s="36">
        <f>'Org structure'!E153</f>
        <v>0</v>
      </c>
      <c r="B325" s="368"/>
      <c r="C325" s="726"/>
      <c r="D325" s="727"/>
      <c r="E325" s="728"/>
      <c r="F325" s="729"/>
      <c r="G325" s="728"/>
      <c r="H325" s="729"/>
      <c r="I325" s="730">
        <f t="shared" si="61"/>
        <v>0</v>
      </c>
      <c r="J325" s="773" t="str">
        <f t="shared" si="62"/>
        <v/>
      </c>
      <c r="K325" s="731"/>
    </row>
    <row r="326" spans="1:11" ht="11.25" hidden="1" customHeight="1" x14ac:dyDescent="0.25">
      <c r="A326" s="36">
        <f>'Org structure'!E154</f>
        <v>0</v>
      </c>
      <c r="B326" s="368"/>
      <c r="C326" s="726"/>
      <c r="D326" s="727"/>
      <c r="E326" s="728"/>
      <c r="F326" s="729"/>
      <c r="G326" s="728"/>
      <c r="H326" s="729"/>
      <c r="I326" s="730">
        <f t="shared" ref="I326:I341" si="68">G326-H326</f>
        <v>0</v>
      </c>
      <c r="J326" s="773" t="str">
        <f t="shared" ref="J326:J341" si="69">IF(I326=0,"",I326/H326)</f>
        <v/>
      </c>
      <c r="K326" s="731"/>
    </row>
    <row r="327" spans="1:11" ht="11.25" hidden="1" customHeight="1" x14ac:dyDescent="0.25">
      <c r="A327" s="36">
        <f>'Org structure'!E155</f>
        <v>0</v>
      </c>
      <c r="B327" s="368"/>
      <c r="C327" s="726"/>
      <c r="D327" s="727"/>
      <c r="E327" s="728"/>
      <c r="F327" s="729"/>
      <c r="G327" s="728"/>
      <c r="H327" s="729"/>
      <c r="I327" s="730">
        <f t="shared" si="68"/>
        <v>0</v>
      </c>
      <c r="J327" s="773" t="str">
        <f t="shared" si="69"/>
        <v/>
      </c>
      <c r="K327" s="731"/>
    </row>
    <row r="328" spans="1:11" ht="11.25" hidden="1" customHeight="1" x14ac:dyDescent="0.25">
      <c r="A328" s="88" t="str">
        <f>'Org structure'!A16</f>
        <v>Vote 15 - [NAME OF VOTE 15]</v>
      </c>
      <c r="B328" s="368"/>
      <c r="C328" s="721">
        <f t="shared" ref="C328:K328" si="70">SUM(C329:C338)</f>
        <v>0</v>
      </c>
      <c r="D328" s="722">
        <f t="shared" si="70"/>
        <v>0</v>
      </c>
      <c r="E328" s="723">
        <f t="shared" si="70"/>
        <v>0</v>
      </c>
      <c r="F328" s="724">
        <f t="shared" si="70"/>
        <v>0</v>
      </c>
      <c r="G328" s="723">
        <f t="shared" si="70"/>
        <v>0</v>
      </c>
      <c r="H328" s="724">
        <f t="shared" si="70"/>
        <v>0</v>
      </c>
      <c r="I328" s="730">
        <f t="shared" si="68"/>
        <v>0</v>
      </c>
      <c r="J328" s="773" t="str">
        <f t="shared" si="69"/>
        <v/>
      </c>
      <c r="K328" s="725">
        <f t="shared" si="70"/>
        <v>0</v>
      </c>
    </row>
    <row r="329" spans="1:11" ht="11.25" hidden="1" customHeight="1" x14ac:dyDescent="0.25">
      <c r="A329" s="36" t="str">
        <f>'Org structure'!E157</f>
        <v>15.1 - [Name of sub-vote]</v>
      </c>
      <c r="B329" s="368"/>
      <c r="C329" s="726"/>
      <c r="D329" s="727"/>
      <c r="E329" s="728"/>
      <c r="F329" s="729"/>
      <c r="G329" s="728"/>
      <c r="H329" s="729"/>
      <c r="I329" s="730">
        <f t="shared" si="68"/>
        <v>0</v>
      </c>
      <c r="J329" s="773" t="str">
        <f t="shared" si="69"/>
        <v/>
      </c>
      <c r="K329" s="731"/>
    </row>
    <row r="330" spans="1:11" ht="11.25" hidden="1" customHeight="1" x14ac:dyDescent="0.25">
      <c r="A330" s="36">
        <f>'Org structure'!E158</f>
        <v>0</v>
      </c>
      <c r="B330" s="368"/>
      <c r="C330" s="726"/>
      <c r="D330" s="727"/>
      <c r="E330" s="728"/>
      <c r="F330" s="729"/>
      <c r="G330" s="728"/>
      <c r="H330" s="729"/>
      <c r="I330" s="730">
        <f t="shared" si="68"/>
        <v>0</v>
      </c>
      <c r="J330" s="773" t="str">
        <f t="shared" si="69"/>
        <v/>
      </c>
      <c r="K330" s="731"/>
    </row>
    <row r="331" spans="1:11" ht="11.25" hidden="1" customHeight="1" x14ac:dyDescent="0.25">
      <c r="A331" s="36">
        <f>'Org structure'!E159</f>
        <v>0</v>
      </c>
      <c r="B331" s="368"/>
      <c r="C331" s="726"/>
      <c r="D331" s="727"/>
      <c r="E331" s="728"/>
      <c r="F331" s="729"/>
      <c r="G331" s="728"/>
      <c r="H331" s="729"/>
      <c r="I331" s="730">
        <f t="shared" si="68"/>
        <v>0</v>
      </c>
      <c r="J331" s="773" t="str">
        <f t="shared" si="69"/>
        <v/>
      </c>
      <c r="K331" s="731"/>
    </row>
    <row r="332" spans="1:11" ht="11.25" hidden="1" customHeight="1" x14ac:dyDescent="0.25">
      <c r="A332" s="36">
        <f>'Org structure'!E160</f>
        <v>0</v>
      </c>
      <c r="B332" s="368"/>
      <c r="C332" s="726"/>
      <c r="D332" s="727"/>
      <c r="E332" s="728"/>
      <c r="F332" s="729"/>
      <c r="G332" s="728"/>
      <c r="H332" s="729"/>
      <c r="I332" s="730">
        <f t="shared" si="68"/>
        <v>0</v>
      </c>
      <c r="J332" s="773" t="str">
        <f t="shared" si="69"/>
        <v/>
      </c>
      <c r="K332" s="731"/>
    </row>
    <row r="333" spans="1:11" ht="11.25" hidden="1" customHeight="1" x14ac:dyDescent="0.25">
      <c r="A333" s="36">
        <f>'Org structure'!E161</f>
        <v>0</v>
      </c>
      <c r="B333" s="368"/>
      <c r="C333" s="726"/>
      <c r="D333" s="727"/>
      <c r="E333" s="728"/>
      <c r="F333" s="729"/>
      <c r="G333" s="728"/>
      <c r="H333" s="729"/>
      <c r="I333" s="730">
        <f t="shared" si="68"/>
        <v>0</v>
      </c>
      <c r="J333" s="773" t="str">
        <f t="shared" si="69"/>
        <v/>
      </c>
      <c r="K333" s="731"/>
    </row>
    <row r="334" spans="1:11" ht="11.25" hidden="1" customHeight="1" x14ac:dyDescent="0.25">
      <c r="A334" s="36">
        <f>'Org structure'!E162</f>
        <v>0</v>
      </c>
      <c r="B334" s="368"/>
      <c r="C334" s="726"/>
      <c r="D334" s="727"/>
      <c r="E334" s="728"/>
      <c r="F334" s="729"/>
      <c r="G334" s="728"/>
      <c r="H334" s="729"/>
      <c r="I334" s="730">
        <f t="shared" si="68"/>
        <v>0</v>
      </c>
      <c r="J334" s="773" t="str">
        <f t="shared" si="69"/>
        <v/>
      </c>
      <c r="K334" s="731"/>
    </row>
    <row r="335" spans="1:11" ht="11.25" hidden="1" customHeight="1" x14ac:dyDescent="0.25">
      <c r="A335" s="36">
        <f>'Org structure'!E163</f>
        <v>0</v>
      </c>
      <c r="B335" s="368"/>
      <c r="C335" s="726"/>
      <c r="D335" s="727"/>
      <c r="E335" s="728"/>
      <c r="F335" s="729"/>
      <c r="G335" s="728"/>
      <c r="H335" s="729"/>
      <c r="I335" s="730">
        <f t="shared" si="68"/>
        <v>0</v>
      </c>
      <c r="J335" s="773" t="str">
        <f t="shared" si="69"/>
        <v/>
      </c>
      <c r="K335" s="731"/>
    </row>
    <row r="336" spans="1:11" ht="11.25" hidden="1" customHeight="1" x14ac:dyDescent="0.25">
      <c r="A336" s="36">
        <f>'Org structure'!E164</f>
        <v>0</v>
      </c>
      <c r="B336" s="368"/>
      <c r="C336" s="726"/>
      <c r="D336" s="727"/>
      <c r="E336" s="728"/>
      <c r="F336" s="729"/>
      <c r="G336" s="728"/>
      <c r="H336" s="729"/>
      <c r="I336" s="730">
        <f t="shared" si="68"/>
        <v>0</v>
      </c>
      <c r="J336" s="773" t="str">
        <f t="shared" si="69"/>
        <v/>
      </c>
      <c r="K336" s="731"/>
    </row>
    <row r="337" spans="1:11" ht="11.25" hidden="1" customHeight="1" x14ac:dyDescent="0.25">
      <c r="A337" s="36">
        <f>'Org structure'!E165</f>
        <v>0</v>
      </c>
      <c r="B337" s="368"/>
      <c r="C337" s="726"/>
      <c r="D337" s="727"/>
      <c r="E337" s="728"/>
      <c r="F337" s="729"/>
      <c r="G337" s="728"/>
      <c r="H337" s="729"/>
      <c r="I337" s="730">
        <f t="shared" si="68"/>
        <v>0</v>
      </c>
      <c r="J337" s="773" t="str">
        <f t="shared" si="69"/>
        <v/>
      </c>
      <c r="K337" s="731"/>
    </row>
    <row r="338" spans="1:11" ht="11.25" hidden="1" customHeight="1" x14ac:dyDescent="0.25">
      <c r="A338" s="36">
        <f>'Org structure'!E166</f>
        <v>0</v>
      </c>
      <c r="B338" s="368"/>
      <c r="C338" s="726"/>
      <c r="D338" s="727"/>
      <c r="E338" s="728"/>
      <c r="F338" s="729"/>
      <c r="G338" s="728"/>
      <c r="H338" s="729"/>
      <c r="I338" s="730">
        <f t="shared" si="68"/>
        <v>0</v>
      </c>
      <c r="J338" s="773" t="str">
        <f t="shared" si="69"/>
        <v/>
      </c>
      <c r="K338" s="731"/>
    </row>
    <row r="339" spans="1:11" ht="12.75" customHeight="1" x14ac:dyDescent="0.25">
      <c r="A339" s="38" t="s">
        <v>645</v>
      </c>
      <c r="B339" s="368">
        <v>2</v>
      </c>
      <c r="C339" s="733">
        <f t="shared" ref="C339:H339" si="71">C174+C185+C196+C207+C218+C229+C240+C251+C262++C273+C284+C295+C306+C317+C328</f>
        <v>957098343.44000018</v>
      </c>
      <c r="D339" s="734">
        <f t="shared" si="71"/>
        <v>1011347518</v>
      </c>
      <c r="E339" s="735">
        <f t="shared" si="71"/>
        <v>1008968148</v>
      </c>
      <c r="F339" s="736">
        <f t="shared" si="71"/>
        <v>79874395.870000005</v>
      </c>
      <c r="G339" s="735">
        <f t="shared" si="71"/>
        <v>896520297.21000004</v>
      </c>
      <c r="H339" s="736">
        <f t="shared" si="71"/>
        <v>1008968148</v>
      </c>
      <c r="I339" s="735">
        <f t="shared" si="68"/>
        <v>-112447850.78999996</v>
      </c>
      <c r="J339" s="369">
        <f t="shared" si="69"/>
        <v>-0.11144836535513702</v>
      </c>
      <c r="K339" s="749">
        <f>K174+K185+K196+K207+K218+K229+K240+K251+K262++K273+K284+K295+K306+K317+K328</f>
        <v>1008968148</v>
      </c>
    </row>
    <row r="340" spans="1:11" ht="4.5" customHeight="1" x14ac:dyDescent="0.25">
      <c r="A340" s="39"/>
      <c r="B340" s="368"/>
      <c r="C340" s="721"/>
      <c r="D340" s="722"/>
      <c r="E340" s="723"/>
      <c r="F340" s="724"/>
      <c r="G340" s="723"/>
      <c r="H340" s="724"/>
      <c r="I340" s="723">
        <f t="shared" si="68"/>
        <v>0</v>
      </c>
      <c r="J340" s="364" t="str">
        <f t="shared" si="69"/>
        <v/>
      </c>
      <c r="K340" s="750"/>
    </row>
    <row r="341" spans="1:11" s="389" customFormat="1" ht="11.25" customHeight="1" x14ac:dyDescent="0.25">
      <c r="A341" s="49" t="str">
        <f>result</f>
        <v>Surplus/ (Deficit) for the year</v>
      </c>
      <c r="B341" s="382">
        <v>2</v>
      </c>
      <c r="C341" s="751">
        <f t="shared" ref="C341:H341" si="72">C171-C339</f>
        <v>102424353.26999986</v>
      </c>
      <c r="D341" s="752">
        <f t="shared" si="72"/>
        <v>123871529</v>
      </c>
      <c r="E341" s="753">
        <f t="shared" si="72"/>
        <v>168468297</v>
      </c>
      <c r="F341" s="754">
        <f t="shared" si="72"/>
        <v>1301911.7699999958</v>
      </c>
      <c r="G341" s="753">
        <f t="shared" si="72"/>
        <v>66014432.279999971</v>
      </c>
      <c r="H341" s="754">
        <f t="shared" si="72"/>
        <v>168468297</v>
      </c>
      <c r="I341" s="753">
        <f t="shared" si="68"/>
        <v>-102453864.72000003</v>
      </c>
      <c r="J341" s="776">
        <f t="shared" si="69"/>
        <v>-0.60814922774461255</v>
      </c>
      <c r="K341" s="755">
        <f>K171-K339</f>
        <v>168468297</v>
      </c>
    </row>
    <row r="342" spans="1:11" s="389" customFormat="1" ht="10.9" hidden="1" customHeight="1" x14ac:dyDescent="0.25">
      <c r="A342" s="680" t="str">
        <f>head27a</f>
        <v>References</v>
      </c>
      <c r="B342" s="386"/>
      <c r="C342" s="756"/>
      <c r="D342" s="757"/>
      <c r="E342" s="757"/>
      <c r="F342" s="757"/>
      <c r="G342" s="757"/>
      <c r="H342" s="757"/>
      <c r="I342" s="757"/>
      <c r="J342" s="777"/>
      <c r="K342" s="758"/>
    </row>
    <row r="343" spans="1:11" s="389" customFormat="1" ht="11.25" hidden="1" customHeight="1" x14ac:dyDescent="0.25">
      <c r="A343" s="684" t="s">
        <v>124</v>
      </c>
      <c r="B343" s="386"/>
      <c r="C343" s="759"/>
      <c r="D343" s="759"/>
      <c r="E343" s="757"/>
      <c r="F343" s="757"/>
      <c r="G343" s="757"/>
      <c r="H343" s="757"/>
      <c r="I343" s="757"/>
      <c r="J343" s="777"/>
      <c r="K343" s="758"/>
    </row>
    <row r="344" spans="1:11" s="389" customFormat="1" ht="11.25" hidden="1" customHeight="1" x14ac:dyDescent="0.25">
      <c r="A344" s="694" t="s">
        <v>125</v>
      </c>
      <c r="B344" s="386"/>
      <c r="C344" s="759"/>
      <c r="D344" s="759"/>
      <c r="E344" s="757"/>
      <c r="F344" s="757"/>
      <c r="G344" s="757"/>
      <c r="H344" s="757"/>
      <c r="I344" s="757"/>
      <c r="J344" s="777"/>
      <c r="K344" s="758"/>
    </row>
    <row r="345" spans="1:11" ht="11.25" hidden="1" customHeight="1" x14ac:dyDescent="0.25">
      <c r="A345" s="694" t="s">
        <v>126</v>
      </c>
      <c r="B345" s="390"/>
      <c r="C345" s="756"/>
      <c r="D345" s="756"/>
      <c r="E345" s="760"/>
      <c r="F345" s="760"/>
      <c r="G345" s="760"/>
      <c r="H345" s="760"/>
      <c r="I345" s="760"/>
      <c r="J345" s="778"/>
      <c r="K345" s="761"/>
    </row>
    <row r="346" spans="1:11" ht="11.25" customHeight="1" x14ac:dyDescent="0.25">
      <c r="A346" s="39"/>
      <c r="K346" s="762"/>
    </row>
    <row r="347" spans="1:11" ht="11.25" customHeight="1" x14ac:dyDescent="0.25">
      <c r="A347" s="73" t="s">
        <v>182</v>
      </c>
      <c r="B347" s="58"/>
      <c r="C347" s="763">
        <f>C171-'C4-FinPerf RE'!C53</f>
        <v>0</v>
      </c>
      <c r="D347" s="763">
        <f>D171-'C4-FinPerf RE'!D53</f>
        <v>0</v>
      </c>
      <c r="E347" s="763">
        <f>E171-'C4-FinPerf RE'!E53</f>
        <v>0</v>
      </c>
      <c r="F347" s="763">
        <f>F171-'C4-FinPerf RE'!F53</f>
        <v>0</v>
      </c>
      <c r="G347" s="763">
        <f>G171-'C4-FinPerf RE'!G53</f>
        <v>0</v>
      </c>
      <c r="H347" s="763">
        <f>H171-'C4-FinPerf RE'!H53</f>
        <v>0</v>
      </c>
      <c r="I347" s="763">
        <f>I171-'C4-FinPerf RE'!I53</f>
        <v>0</v>
      </c>
      <c r="J347" s="467"/>
      <c r="K347" s="764">
        <f>K171-'C4-FinPerf RE'!K53</f>
        <v>0</v>
      </c>
    </row>
    <row r="348" spans="1:11" ht="11.25" customHeight="1" x14ac:dyDescent="0.25">
      <c r="A348" s="678" t="s">
        <v>183</v>
      </c>
      <c r="B348" s="679"/>
      <c r="C348" s="765">
        <f>C339-'C4-FinPerf RE'!C36</f>
        <v>0</v>
      </c>
      <c r="D348" s="765">
        <f>D339-'C4-FinPerf RE'!D36</f>
        <v>0</v>
      </c>
      <c r="E348" s="765">
        <f>E339-'C4-FinPerf RE'!E36</f>
        <v>0</v>
      </c>
      <c r="F348" s="765">
        <f>F339-'C4-FinPerf RE'!F36</f>
        <v>0</v>
      </c>
      <c r="G348" s="765">
        <f>G339-'C4-FinPerf RE'!G36</f>
        <v>0</v>
      </c>
      <c r="H348" s="765">
        <f>H339-'C4-FinPerf RE'!H36</f>
        <v>0</v>
      </c>
      <c r="I348" s="765">
        <f>I339-'C4-FinPerf RE'!I36</f>
        <v>0</v>
      </c>
      <c r="J348" s="693"/>
      <c r="K348" s="766">
        <f>K339-'C4-FinPerf RE'!K36</f>
        <v>0</v>
      </c>
    </row>
  </sheetData>
  <mergeCells count="1">
    <mergeCell ref="D2:K2"/>
  </mergeCells>
  <phoneticPr fontId="3" type="noConversion"/>
  <printOptions horizontalCentered="1"/>
  <pageMargins left="0.19685039370078741" right="0.19685039370078741" top="0.59055118110236227" bottom="0.59055118110236227" header="0.51181102362204722" footer="0.51181102362204722"/>
  <pageSetup paperSize="9" scale="87" fitToHeight="0" orientation="portrait" r:id="rId1"/>
  <headerFooter alignWithMargins="0"/>
  <rowBreaks count="1" manualBreakCount="1">
    <brk id="172" max="16383" man="1"/>
  </rowBreaks>
  <ignoredErrors>
    <ignoredError sqref="A6:A170 H7:K11 H13:K236 I12:K12"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2">
    <tabColor indexed="44"/>
    <pageSetUpPr fitToPage="1"/>
  </sheetPr>
  <dimension ref="A1:L54"/>
  <sheetViews>
    <sheetView showGridLines="0" view="pageBreakPreview" zoomScaleNormal="100" zoomScaleSheetLayoutView="100" workbookViewId="0">
      <pane xSplit="2" ySplit="4" topLeftCell="C35" activePane="bottomRight" state="frozen"/>
      <selection pane="topRight"/>
      <selection pane="bottomLeft"/>
      <selection pane="bottomRight" activeCell="G49" sqref="G49"/>
    </sheetView>
  </sheetViews>
  <sheetFormatPr defaultColWidth="9.140625" defaultRowHeight="12.75" x14ac:dyDescent="0.25"/>
  <cols>
    <col min="1" max="1" width="35.7109375" style="22" customWidth="1"/>
    <col min="2" max="2" width="3.140625" style="54" customWidth="1"/>
    <col min="3" max="8" width="8.7109375" style="22" customWidth="1"/>
    <col min="9" max="10" width="6.7109375" style="22" customWidth="1"/>
    <col min="11" max="11" width="8.7109375" style="22" customWidth="1"/>
    <col min="12" max="12" width="2.140625" style="22" hidden="1" customWidth="1"/>
    <col min="13" max="16384" width="9.140625" style="22"/>
  </cols>
  <sheetData>
    <row r="1" spans="1:12" ht="13.5" x14ac:dyDescent="0.25">
      <c r="A1" s="991" t="str">
        <f>muni&amp; " - "&amp;S71B&amp; " - "&amp;date</f>
        <v>WC025 Breede Valley - Table C4 Monthly Budget Statement - Financial Performance (revenue and expenditure) - Q4 Fourth Quarter</v>
      </c>
      <c r="B1" s="992"/>
      <c r="C1" s="992"/>
      <c r="D1" s="992"/>
      <c r="E1" s="992"/>
      <c r="F1" s="992"/>
      <c r="G1" s="992"/>
      <c r="H1" s="992"/>
      <c r="I1" s="992"/>
      <c r="J1" s="992"/>
      <c r="K1" s="993"/>
      <c r="L1" s="22">
        <v>12</v>
      </c>
    </row>
    <row r="2" spans="1:12" x14ac:dyDescent="0.25">
      <c r="A2" s="980" t="str">
        <f>desc</f>
        <v>Description</v>
      </c>
      <c r="B2" s="989" t="str">
        <f>head27</f>
        <v>Ref</v>
      </c>
      <c r="C2" s="131" t="str">
        <f>Head1</f>
        <v>2017/18</v>
      </c>
      <c r="D2" s="975" t="str">
        <f>Head2</f>
        <v>Budget Year 2018/19</v>
      </c>
      <c r="E2" s="976"/>
      <c r="F2" s="976"/>
      <c r="G2" s="976"/>
      <c r="H2" s="976"/>
      <c r="I2" s="976"/>
      <c r="J2" s="976"/>
      <c r="K2" s="977"/>
    </row>
    <row r="3" spans="1:12" ht="25.5" x14ac:dyDescent="0.25">
      <c r="A3" s="981"/>
      <c r="B3" s="990"/>
      <c r="C3" s="132" t="str">
        <f>Head5</f>
        <v>Audited Outcome</v>
      </c>
      <c r="D3" s="164" t="str">
        <f>Head6</f>
        <v>Original Budget</v>
      </c>
      <c r="E3" s="116" t="str">
        <f>Head7</f>
        <v>Adjusted Budget</v>
      </c>
      <c r="F3" s="116" t="str">
        <f>Head38</f>
        <v>Monthly actual</v>
      </c>
      <c r="G3" s="116" t="str">
        <f>Head39</f>
        <v>YearTD actual</v>
      </c>
      <c r="H3" s="116" t="str">
        <f>Head40</f>
        <v>YearTD budget</v>
      </c>
      <c r="I3" s="116" t="str">
        <f>Head41</f>
        <v>YTD variance</v>
      </c>
      <c r="J3" s="170" t="str">
        <f>Head41</f>
        <v>YTD variance</v>
      </c>
      <c r="K3" s="137" t="str">
        <f>Head8</f>
        <v>Full Year Forecast</v>
      </c>
    </row>
    <row r="4" spans="1:12" x14ac:dyDescent="0.25">
      <c r="A4" s="31" t="s">
        <v>678</v>
      </c>
      <c r="B4" s="347"/>
      <c r="C4" s="153"/>
      <c r="D4" s="203"/>
      <c r="E4" s="204"/>
      <c r="F4" s="74"/>
      <c r="G4" s="74"/>
      <c r="H4" s="74"/>
      <c r="I4" s="74"/>
      <c r="J4" s="205" t="s">
        <v>586</v>
      </c>
      <c r="K4" s="187"/>
    </row>
    <row r="5" spans="1:12" ht="12.75" customHeight="1" x14ac:dyDescent="0.25">
      <c r="A5" s="149" t="s">
        <v>491</v>
      </c>
      <c r="B5" s="407"/>
      <c r="C5" s="143"/>
      <c r="D5" s="34"/>
      <c r="E5" s="33"/>
      <c r="F5" s="33"/>
      <c r="G5" s="33"/>
      <c r="H5" s="33"/>
      <c r="I5" s="33"/>
      <c r="J5" s="33"/>
      <c r="K5" s="190"/>
    </row>
    <row r="6" spans="1:12" ht="11.25" customHeight="1" x14ac:dyDescent="0.25">
      <c r="A6" s="36" t="s">
        <v>946</v>
      </c>
      <c r="B6" s="348"/>
      <c r="C6" s="526">
        <v>126475877.25999999</v>
      </c>
      <c r="D6" s="328">
        <v>145752800</v>
      </c>
      <c r="E6" s="329">
        <v>134073738</v>
      </c>
      <c r="F6" s="939">
        <v>8875505.7899999991</v>
      </c>
      <c r="G6" s="939">
        <v>137472012.81999999</v>
      </c>
      <c r="H6" s="329">
        <f>E6/12*$L$1</f>
        <v>134073738</v>
      </c>
      <c r="I6" s="41">
        <f t="shared" ref="I6:I22" si="0">G6-H6</f>
        <v>3398274.8199999928</v>
      </c>
      <c r="J6" s="165">
        <f t="shared" ref="J6:J22" si="1">IF(I6=0,"",I6/H6)</f>
        <v>2.5346312191280838E-2</v>
      </c>
      <c r="K6" s="517">
        <f>E6</f>
        <v>134073738</v>
      </c>
    </row>
    <row r="7" spans="1:12" ht="11.25" customHeight="1" x14ac:dyDescent="0.25">
      <c r="A7" s="36" t="s">
        <v>842</v>
      </c>
      <c r="B7" s="348"/>
      <c r="C7" s="526">
        <v>351441971.45999998</v>
      </c>
      <c r="D7" s="328">
        <v>395844900</v>
      </c>
      <c r="E7" s="329">
        <v>398479192</v>
      </c>
      <c r="F7" s="939">
        <v>35428458.160000004</v>
      </c>
      <c r="G7" s="939">
        <v>361211613.25999993</v>
      </c>
      <c r="H7" s="329">
        <f t="shared" ref="H7:H21" si="2">E7/12*$L$1</f>
        <v>398479192</v>
      </c>
      <c r="I7" s="41">
        <f t="shared" si="0"/>
        <v>-37267578.740000069</v>
      </c>
      <c r="J7" s="165">
        <f t="shared" si="1"/>
        <v>-9.3524528979671465E-2</v>
      </c>
      <c r="K7" s="517">
        <f t="shared" ref="K7:K21" si="3">E7</f>
        <v>398479192</v>
      </c>
    </row>
    <row r="8" spans="1:12" ht="11.25" customHeight="1" x14ac:dyDescent="0.25">
      <c r="A8" s="36" t="s">
        <v>843</v>
      </c>
      <c r="B8" s="348"/>
      <c r="C8" s="526">
        <v>56725238.330000006</v>
      </c>
      <c r="D8" s="328">
        <v>77097100</v>
      </c>
      <c r="E8" s="329">
        <v>68182646</v>
      </c>
      <c r="F8" s="939">
        <v>7090131.0700000003</v>
      </c>
      <c r="G8" s="939">
        <v>66534232.199999996</v>
      </c>
      <c r="H8" s="329">
        <f t="shared" si="2"/>
        <v>68182646</v>
      </c>
      <c r="I8" s="41">
        <f t="shared" si="0"/>
        <v>-1648413.8000000045</v>
      </c>
      <c r="J8" s="165">
        <f t="shared" si="1"/>
        <v>-2.4176442199089845E-2</v>
      </c>
      <c r="K8" s="517">
        <f t="shared" si="3"/>
        <v>68182646</v>
      </c>
    </row>
    <row r="9" spans="1:12" ht="11.25" customHeight="1" x14ac:dyDescent="0.25">
      <c r="A9" s="36" t="s">
        <v>844</v>
      </c>
      <c r="B9" s="348"/>
      <c r="C9" s="526">
        <v>65381487.149999999</v>
      </c>
      <c r="D9" s="328">
        <v>67984300</v>
      </c>
      <c r="E9" s="329">
        <v>69207061</v>
      </c>
      <c r="F9" s="939">
        <v>5465295.3899999997</v>
      </c>
      <c r="G9" s="939">
        <v>66929957.460000001</v>
      </c>
      <c r="H9" s="329">
        <f t="shared" si="2"/>
        <v>69207061</v>
      </c>
      <c r="I9" s="41">
        <f t="shared" si="0"/>
        <v>-2277103.5399999991</v>
      </c>
      <c r="J9" s="165">
        <f t="shared" si="1"/>
        <v>-3.2902763202153594E-2</v>
      </c>
      <c r="K9" s="517">
        <f t="shared" si="3"/>
        <v>69207061</v>
      </c>
    </row>
    <row r="10" spans="1:12" ht="11.25" customHeight="1" x14ac:dyDescent="0.25">
      <c r="A10" s="36" t="s">
        <v>73</v>
      </c>
      <c r="B10" s="348"/>
      <c r="C10" s="526">
        <v>34887209.550000004</v>
      </c>
      <c r="D10" s="328">
        <v>37961700</v>
      </c>
      <c r="E10" s="329">
        <v>39094532</v>
      </c>
      <c r="F10" s="939">
        <v>3020513.0100000002</v>
      </c>
      <c r="G10" s="939">
        <v>38164615.219999999</v>
      </c>
      <c r="H10" s="329">
        <f t="shared" si="2"/>
        <v>39094532</v>
      </c>
      <c r="I10" s="41">
        <f t="shared" si="0"/>
        <v>-929916.78000000119</v>
      </c>
      <c r="J10" s="165">
        <f t="shared" si="1"/>
        <v>-2.3786364292581918E-2</v>
      </c>
      <c r="K10" s="517">
        <f t="shared" si="3"/>
        <v>39094532</v>
      </c>
    </row>
    <row r="11" spans="1:12" ht="11.25" customHeight="1" x14ac:dyDescent="0.25">
      <c r="A11" s="36" t="s">
        <v>845</v>
      </c>
      <c r="B11" s="348"/>
      <c r="C11" s="526">
        <v>0</v>
      </c>
      <c r="D11" s="328">
        <v>0</v>
      </c>
      <c r="E11" s="329">
        <v>0</v>
      </c>
      <c r="F11" s="939">
        <v>0</v>
      </c>
      <c r="G11" s="939">
        <v>0</v>
      </c>
      <c r="H11" s="329">
        <f t="shared" si="2"/>
        <v>0</v>
      </c>
      <c r="I11" s="41">
        <f t="shared" si="0"/>
        <v>0</v>
      </c>
      <c r="J11" s="165" t="str">
        <f t="shared" si="1"/>
        <v/>
      </c>
      <c r="K11" s="517">
        <f t="shared" si="3"/>
        <v>0</v>
      </c>
    </row>
    <row r="12" spans="1:12" ht="11.25" customHeight="1" x14ac:dyDescent="0.25">
      <c r="A12" s="36" t="s">
        <v>978</v>
      </c>
      <c r="B12" s="348"/>
      <c r="C12" s="526">
        <v>9052178.75</v>
      </c>
      <c r="D12" s="328">
        <v>8841700</v>
      </c>
      <c r="E12" s="329">
        <v>8841690</v>
      </c>
      <c r="F12" s="939">
        <v>637814.64</v>
      </c>
      <c r="G12" s="939">
        <v>9845168.7800000012</v>
      </c>
      <c r="H12" s="329">
        <f t="shared" si="2"/>
        <v>8841690</v>
      </c>
      <c r="I12" s="41">
        <f t="shared" si="0"/>
        <v>1003478.7800000012</v>
      </c>
      <c r="J12" s="165">
        <f t="shared" si="1"/>
        <v>0.11349400171234246</v>
      </c>
      <c r="K12" s="517">
        <f t="shared" si="3"/>
        <v>8841690</v>
      </c>
    </row>
    <row r="13" spans="1:12" ht="11.25" customHeight="1" x14ac:dyDescent="0.25">
      <c r="A13" s="36" t="s">
        <v>848</v>
      </c>
      <c r="B13" s="348"/>
      <c r="C13" s="526">
        <v>16555889.58</v>
      </c>
      <c r="D13" s="328">
        <v>13073900</v>
      </c>
      <c r="E13" s="329">
        <v>11225400</v>
      </c>
      <c r="F13" s="939">
        <v>944199.8</v>
      </c>
      <c r="G13" s="939">
        <v>11232874.74</v>
      </c>
      <c r="H13" s="329">
        <f t="shared" si="2"/>
        <v>11225400</v>
      </c>
      <c r="I13" s="41">
        <f t="shared" si="0"/>
        <v>7474.7400000002235</v>
      </c>
      <c r="J13" s="165">
        <f t="shared" si="1"/>
        <v>6.6587738521569153E-4</v>
      </c>
      <c r="K13" s="517">
        <f t="shared" si="3"/>
        <v>11225400</v>
      </c>
    </row>
    <row r="14" spans="1:12" ht="11.25" customHeight="1" x14ac:dyDescent="0.25">
      <c r="A14" s="36" t="s">
        <v>849</v>
      </c>
      <c r="B14" s="348"/>
      <c r="C14" s="526">
        <v>6277986.2599999998</v>
      </c>
      <c r="D14" s="328">
        <v>3181200</v>
      </c>
      <c r="E14" s="329">
        <v>5921488</v>
      </c>
      <c r="F14" s="939">
        <v>400348.75</v>
      </c>
      <c r="G14" s="939">
        <v>4454448.76</v>
      </c>
      <c r="H14" s="329">
        <f t="shared" si="2"/>
        <v>5921488</v>
      </c>
      <c r="I14" s="41">
        <f t="shared" si="0"/>
        <v>-1467039.2400000002</v>
      </c>
      <c r="J14" s="165">
        <f t="shared" si="1"/>
        <v>-0.24774841053464944</v>
      </c>
      <c r="K14" s="517">
        <f t="shared" si="3"/>
        <v>5921488</v>
      </c>
    </row>
    <row r="15" spans="1:12" ht="11.25" customHeight="1" x14ac:dyDescent="0.25">
      <c r="A15" s="36" t="s">
        <v>936</v>
      </c>
      <c r="B15" s="348"/>
      <c r="C15" s="526">
        <v>0</v>
      </c>
      <c r="D15" s="328">
        <v>0</v>
      </c>
      <c r="E15" s="329">
        <v>0</v>
      </c>
      <c r="F15" s="939">
        <v>0</v>
      </c>
      <c r="G15" s="939">
        <v>0</v>
      </c>
      <c r="H15" s="329">
        <f t="shared" si="2"/>
        <v>0</v>
      </c>
      <c r="I15" s="41">
        <f t="shared" si="0"/>
        <v>0</v>
      </c>
      <c r="J15" s="165" t="str">
        <f t="shared" si="1"/>
        <v/>
      </c>
      <c r="K15" s="517">
        <f t="shared" si="3"/>
        <v>0</v>
      </c>
    </row>
    <row r="16" spans="1:12" ht="11.25" customHeight="1" x14ac:dyDescent="0.25">
      <c r="A16" s="36" t="s">
        <v>1150</v>
      </c>
      <c r="B16" s="348"/>
      <c r="C16" s="526">
        <v>111977583.95999999</v>
      </c>
      <c r="D16" s="328">
        <v>75258400</v>
      </c>
      <c r="E16" s="329">
        <v>118395410</v>
      </c>
      <c r="F16" s="939">
        <v>17091409.280000001</v>
      </c>
      <c r="G16" s="939">
        <v>117902109.04000001</v>
      </c>
      <c r="H16" s="329">
        <f t="shared" si="2"/>
        <v>118395410</v>
      </c>
      <c r="I16" s="41">
        <f t="shared" si="0"/>
        <v>-493300.95999999344</v>
      </c>
      <c r="J16" s="165">
        <f t="shared" si="1"/>
        <v>-4.1665547676214259E-3</v>
      </c>
      <c r="K16" s="517">
        <f t="shared" si="3"/>
        <v>118395410</v>
      </c>
    </row>
    <row r="17" spans="1:11" ht="11.25" customHeight="1" x14ac:dyDescent="0.25">
      <c r="A17" s="36" t="s">
        <v>850</v>
      </c>
      <c r="B17" s="348"/>
      <c r="C17" s="526">
        <v>3108412.8600000003</v>
      </c>
      <c r="D17" s="328">
        <v>3423800</v>
      </c>
      <c r="E17" s="329">
        <v>3423800</v>
      </c>
      <c r="F17" s="939">
        <v>399159.26</v>
      </c>
      <c r="G17" s="939">
        <v>2950583.9299999997</v>
      </c>
      <c r="H17" s="329">
        <f t="shared" si="2"/>
        <v>3423800</v>
      </c>
      <c r="I17" s="41">
        <f t="shared" si="0"/>
        <v>-473216.0700000003</v>
      </c>
      <c r="J17" s="165">
        <f t="shared" si="1"/>
        <v>-0.13821370115076823</v>
      </c>
      <c r="K17" s="517">
        <f t="shared" si="3"/>
        <v>3423800</v>
      </c>
    </row>
    <row r="18" spans="1:11" ht="11.25" customHeight="1" x14ac:dyDescent="0.25">
      <c r="A18" s="36" t="s">
        <v>592</v>
      </c>
      <c r="B18" s="348"/>
      <c r="C18" s="526">
        <v>7630035.0099999998</v>
      </c>
      <c r="D18" s="328">
        <v>7793100</v>
      </c>
      <c r="E18" s="329">
        <v>7793100</v>
      </c>
      <c r="F18" s="939">
        <v>702704.52</v>
      </c>
      <c r="G18" s="939">
        <v>8350308.4500000002</v>
      </c>
      <c r="H18" s="329">
        <f t="shared" si="2"/>
        <v>7793100</v>
      </c>
      <c r="I18" s="41">
        <f t="shared" si="0"/>
        <v>557208.45000000019</v>
      </c>
      <c r="J18" s="165">
        <f t="shared" si="1"/>
        <v>7.1500230973553555E-2</v>
      </c>
      <c r="K18" s="517">
        <f t="shared" si="3"/>
        <v>7793100</v>
      </c>
    </row>
    <row r="19" spans="1:11" ht="11.25" customHeight="1" x14ac:dyDescent="0.25">
      <c r="A19" s="36" t="s">
        <v>1516</v>
      </c>
      <c r="B19" s="348"/>
      <c r="C19" s="526">
        <v>130203145.53999999</v>
      </c>
      <c r="D19" s="328">
        <v>146455247</v>
      </c>
      <c r="E19" s="329">
        <v>144633652</v>
      </c>
      <c r="F19" s="939">
        <v>0</v>
      </c>
      <c r="G19" s="939">
        <v>126629947.43000001</v>
      </c>
      <c r="H19" s="329">
        <f t="shared" si="2"/>
        <v>144633652</v>
      </c>
      <c r="I19" s="41">
        <f t="shared" si="0"/>
        <v>-18003704.569999993</v>
      </c>
      <c r="J19" s="165">
        <f t="shared" si="1"/>
        <v>-0.12447797812641828</v>
      </c>
      <c r="K19" s="517">
        <f t="shared" si="3"/>
        <v>144633652</v>
      </c>
    </row>
    <row r="20" spans="1:11" ht="11.25" customHeight="1" x14ac:dyDescent="0.25">
      <c r="A20" s="36" t="s">
        <v>460</v>
      </c>
      <c r="B20" s="348"/>
      <c r="C20" s="526">
        <v>8246322.8699999992</v>
      </c>
      <c r="D20" s="328">
        <v>10271000</v>
      </c>
      <c r="E20" s="329">
        <v>10478121</v>
      </c>
      <c r="F20" s="939">
        <v>1120767.9699999997</v>
      </c>
      <c r="G20" s="939">
        <v>9919744.5800000019</v>
      </c>
      <c r="H20" s="329">
        <f t="shared" si="2"/>
        <v>10478121</v>
      </c>
      <c r="I20" s="41">
        <f t="shared" si="0"/>
        <v>-558376.41999999806</v>
      </c>
      <c r="J20" s="165">
        <f t="shared" si="1"/>
        <v>-5.3289747274344136E-2</v>
      </c>
      <c r="K20" s="517">
        <f t="shared" si="3"/>
        <v>10478121</v>
      </c>
    </row>
    <row r="21" spans="1:11" ht="11.25" customHeight="1" x14ac:dyDescent="0.25">
      <c r="A21" s="36" t="s">
        <v>851</v>
      </c>
      <c r="B21" s="348"/>
      <c r="C21" s="526">
        <v>-95086.669999999984</v>
      </c>
      <c r="D21" s="328">
        <v>1189900</v>
      </c>
      <c r="E21" s="329">
        <v>1189900</v>
      </c>
      <c r="F21" s="939">
        <v>0</v>
      </c>
      <c r="G21" s="939">
        <v>937112.82</v>
      </c>
      <c r="H21" s="329">
        <f t="shared" si="2"/>
        <v>1189900</v>
      </c>
      <c r="I21" s="41">
        <f t="shared" si="0"/>
        <v>-252787.18000000005</v>
      </c>
      <c r="J21" s="165">
        <f t="shared" si="1"/>
        <v>-0.21244405412219519</v>
      </c>
      <c r="K21" s="517">
        <f t="shared" si="3"/>
        <v>1189900</v>
      </c>
    </row>
    <row r="22" spans="1:11" ht="24.75" customHeight="1" x14ac:dyDescent="0.25">
      <c r="A22" s="453" t="s">
        <v>137</v>
      </c>
      <c r="B22" s="454"/>
      <c r="C22" s="410">
        <f t="shared" ref="C22:H22" si="4">SUM(C6:C21)</f>
        <v>927868251.90999997</v>
      </c>
      <c r="D22" s="411">
        <f t="shared" si="4"/>
        <v>994129047</v>
      </c>
      <c r="E22" s="412">
        <f t="shared" si="4"/>
        <v>1020939730</v>
      </c>
      <c r="F22" s="412">
        <f t="shared" si="4"/>
        <v>81176307.640000001</v>
      </c>
      <c r="G22" s="412">
        <f t="shared" si="4"/>
        <v>962534729.49000001</v>
      </c>
      <c r="H22" s="412">
        <f t="shared" si="4"/>
        <v>1020939730</v>
      </c>
      <c r="I22" s="412">
        <f t="shared" si="0"/>
        <v>-58405000.50999999</v>
      </c>
      <c r="J22" s="413">
        <f t="shared" si="1"/>
        <v>-5.7207099296645053E-2</v>
      </c>
      <c r="K22" s="414">
        <f>SUM(K6:K21)</f>
        <v>1020939730</v>
      </c>
    </row>
    <row r="23" spans="1:11" ht="5.0999999999999996" customHeight="1" x14ac:dyDescent="0.25">
      <c r="A23" s="39"/>
      <c r="B23" s="348"/>
      <c r="C23" s="111"/>
      <c r="D23" s="43"/>
      <c r="E23" s="41"/>
      <c r="F23" s="41"/>
      <c r="G23" s="41"/>
      <c r="H23" s="41"/>
      <c r="I23" s="41"/>
      <c r="J23" s="41"/>
      <c r="K23" s="119"/>
    </row>
    <row r="24" spans="1:11" ht="12.75" customHeight="1" x14ac:dyDescent="0.25">
      <c r="A24" s="32" t="s">
        <v>492</v>
      </c>
      <c r="B24" s="349"/>
      <c r="C24" s="111"/>
      <c r="D24" s="43"/>
      <c r="E24" s="41"/>
      <c r="F24" s="41"/>
      <c r="G24" s="41"/>
      <c r="H24" s="41"/>
      <c r="I24" s="41"/>
      <c r="J24" s="41"/>
      <c r="K24" s="119"/>
    </row>
    <row r="25" spans="1:11" ht="12.75" customHeight="1" x14ac:dyDescent="0.25">
      <c r="A25" s="36" t="s">
        <v>852</v>
      </c>
      <c r="B25" s="348"/>
      <c r="C25" s="526">
        <v>252675350.92999977</v>
      </c>
      <c r="D25" s="328">
        <v>310636522.99999994</v>
      </c>
      <c r="E25" s="329">
        <v>282019074.99999994</v>
      </c>
      <c r="F25" s="940">
        <v>23766346.209999993</v>
      </c>
      <c r="G25" s="940">
        <v>276627197.25</v>
      </c>
      <c r="H25" s="329">
        <f t="shared" ref="H25:H35" si="5">E25/12*$L$1</f>
        <v>282019074.99999994</v>
      </c>
      <c r="I25" s="41">
        <f t="shared" ref="I25:I36" si="6">G25-H25</f>
        <v>-5391877.7499999404</v>
      </c>
      <c r="J25" s="165">
        <f t="shared" ref="J25:J41" si="7">IF(I25=0,"",I25/H25)</f>
        <v>-1.9118840631613097E-2</v>
      </c>
      <c r="K25" s="517">
        <f t="shared" ref="K25:K35" si="8">E25</f>
        <v>282019074.99999994</v>
      </c>
    </row>
    <row r="26" spans="1:11" ht="12.75" customHeight="1" x14ac:dyDescent="0.25">
      <c r="A26" s="36" t="s">
        <v>481</v>
      </c>
      <c r="B26" s="348"/>
      <c r="C26" s="526">
        <v>16890840.800000001</v>
      </c>
      <c r="D26" s="328">
        <v>18128959</v>
      </c>
      <c r="E26" s="329">
        <v>18128959</v>
      </c>
      <c r="F26" s="940">
        <v>1443687.74</v>
      </c>
      <c r="G26" s="940">
        <v>17663154.07</v>
      </c>
      <c r="H26" s="329">
        <f t="shared" si="5"/>
        <v>18128959</v>
      </c>
      <c r="I26" s="41">
        <f t="shared" si="6"/>
        <v>-465804.9299999997</v>
      </c>
      <c r="J26" s="165">
        <f t="shared" si="7"/>
        <v>-2.5693970072964461E-2</v>
      </c>
      <c r="K26" s="517">
        <f t="shared" si="8"/>
        <v>18128959</v>
      </c>
    </row>
    <row r="27" spans="1:11" ht="12.75" customHeight="1" x14ac:dyDescent="0.25">
      <c r="A27" s="36" t="s">
        <v>622</v>
      </c>
      <c r="B27" s="348"/>
      <c r="C27" s="526">
        <v>112244878.78</v>
      </c>
      <c r="D27" s="328">
        <v>59661770</v>
      </c>
      <c r="E27" s="329">
        <v>101239518</v>
      </c>
      <c r="F27" s="940">
        <v>-8132411</v>
      </c>
      <c r="G27" s="940">
        <v>76233854</v>
      </c>
      <c r="H27" s="329">
        <f t="shared" si="5"/>
        <v>101239518</v>
      </c>
      <c r="I27" s="41">
        <f t="shared" si="6"/>
        <v>-25005664</v>
      </c>
      <c r="J27" s="165">
        <f t="shared" si="7"/>
        <v>-0.24699509138318892</v>
      </c>
      <c r="K27" s="517">
        <f t="shared" si="8"/>
        <v>101239518</v>
      </c>
    </row>
    <row r="28" spans="1:11" ht="12.75" customHeight="1" x14ac:dyDescent="0.25">
      <c r="A28" s="36" t="s">
        <v>675</v>
      </c>
      <c r="B28" s="348"/>
      <c r="C28" s="526">
        <v>85049395.030000061</v>
      </c>
      <c r="D28" s="328">
        <v>86305366</v>
      </c>
      <c r="E28" s="329">
        <v>86305366</v>
      </c>
      <c r="F28" s="940">
        <v>13309811.329999989</v>
      </c>
      <c r="G28" s="940">
        <v>83910903.949999973</v>
      </c>
      <c r="H28" s="329">
        <f t="shared" si="5"/>
        <v>86305366</v>
      </c>
      <c r="I28" s="41">
        <f t="shared" si="6"/>
        <v>-2394462.0500000268</v>
      </c>
      <c r="J28" s="165">
        <f t="shared" si="7"/>
        <v>-2.7744069238985983E-2</v>
      </c>
      <c r="K28" s="517">
        <f t="shared" si="8"/>
        <v>86305366</v>
      </c>
    </row>
    <row r="29" spans="1:11" ht="12.75" customHeight="1" x14ac:dyDescent="0.25">
      <c r="A29" s="36" t="s">
        <v>459</v>
      </c>
      <c r="B29" s="348"/>
      <c r="C29" s="526">
        <v>26038599.569999997</v>
      </c>
      <c r="D29" s="328">
        <v>24505128</v>
      </c>
      <c r="E29" s="329">
        <v>24505128</v>
      </c>
      <c r="F29" s="940">
        <v>4562159</v>
      </c>
      <c r="G29" s="940">
        <v>35512547.68</v>
      </c>
      <c r="H29" s="329">
        <f t="shared" si="5"/>
        <v>24505128</v>
      </c>
      <c r="I29" s="41">
        <f t="shared" si="6"/>
        <v>11007419.68</v>
      </c>
      <c r="J29" s="165">
        <f t="shared" si="7"/>
        <v>0.44918841803234</v>
      </c>
      <c r="K29" s="517">
        <f t="shared" si="8"/>
        <v>24505128</v>
      </c>
    </row>
    <row r="30" spans="1:11" ht="12.75" customHeight="1" x14ac:dyDescent="0.25">
      <c r="A30" s="36" t="s">
        <v>855</v>
      </c>
      <c r="B30" s="348"/>
      <c r="C30" s="526">
        <v>264821073.05000001</v>
      </c>
      <c r="D30" s="328">
        <v>281891913</v>
      </c>
      <c r="E30" s="329">
        <v>281891913</v>
      </c>
      <c r="F30" s="940">
        <v>21164664.469999999</v>
      </c>
      <c r="G30" s="940">
        <v>254850438.90000001</v>
      </c>
      <c r="H30" s="329">
        <f t="shared" si="5"/>
        <v>281891913</v>
      </c>
      <c r="I30" s="41">
        <f t="shared" si="6"/>
        <v>-27041474.099999994</v>
      </c>
      <c r="J30" s="165">
        <f t="shared" si="7"/>
        <v>-9.5928520304873005E-2</v>
      </c>
      <c r="K30" s="517">
        <f t="shared" si="8"/>
        <v>281891913</v>
      </c>
    </row>
    <row r="31" spans="1:11" ht="12.75" customHeight="1" x14ac:dyDescent="0.25">
      <c r="A31" s="36" t="s">
        <v>935</v>
      </c>
      <c r="B31" s="348"/>
      <c r="C31" s="526">
        <v>13348446.9</v>
      </c>
      <c r="D31" s="328">
        <v>11612140</v>
      </c>
      <c r="E31" s="329">
        <v>26358542</v>
      </c>
      <c r="F31" s="940">
        <v>5234611.8999999994</v>
      </c>
      <c r="G31" s="940">
        <v>26342749.840000004</v>
      </c>
      <c r="H31" s="329">
        <f t="shared" si="5"/>
        <v>26358542</v>
      </c>
      <c r="I31" s="41">
        <f t="shared" si="6"/>
        <v>-15792.159999996424</v>
      </c>
      <c r="J31" s="165">
        <f t="shared" si="7"/>
        <v>-5.9912873784886977E-4</v>
      </c>
      <c r="K31" s="517">
        <f t="shared" si="8"/>
        <v>26358542</v>
      </c>
    </row>
    <row r="32" spans="1:11" ht="12.75" customHeight="1" x14ac:dyDescent="0.25">
      <c r="A32" s="36" t="s">
        <v>856</v>
      </c>
      <c r="B32" s="348"/>
      <c r="C32" s="526">
        <v>97988277.560000002</v>
      </c>
      <c r="D32" s="328">
        <v>117525507</v>
      </c>
      <c r="E32" s="329">
        <v>88781071</v>
      </c>
      <c r="F32" s="940">
        <v>11300957.68</v>
      </c>
      <c r="G32" s="940">
        <v>67046184.969999991</v>
      </c>
      <c r="H32" s="329">
        <f t="shared" si="5"/>
        <v>88781071</v>
      </c>
      <c r="I32" s="41">
        <f t="shared" si="6"/>
        <v>-21734886.030000009</v>
      </c>
      <c r="J32" s="165">
        <f t="shared" si="7"/>
        <v>-0.24481441578914956</v>
      </c>
      <c r="K32" s="517">
        <f t="shared" si="8"/>
        <v>88781071</v>
      </c>
    </row>
    <row r="33" spans="1:11" ht="12.75" customHeight="1" x14ac:dyDescent="0.25">
      <c r="A33" s="36" t="s">
        <v>1151</v>
      </c>
      <c r="B33" s="348"/>
      <c r="C33" s="526">
        <v>12806719.610000001</v>
      </c>
      <c r="D33" s="328">
        <v>21598146</v>
      </c>
      <c r="E33" s="329">
        <v>19658127</v>
      </c>
      <c r="F33" s="940">
        <v>976534.44</v>
      </c>
      <c r="G33" s="940">
        <v>4914611.8100000005</v>
      </c>
      <c r="H33" s="329">
        <f t="shared" si="5"/>
        <v>19658127</v>
      </c>
      <c r="I33" s="41">
        <f t="shared" si="6"/>
        <v>-14743515.189999999</v>
      </c>
      <c r="J33" s="165">
        <f t="shared" si="7"/>
        <v>-0.74999592738412968</v>
      </c>
      <c r="K33" s="517">
        <f t="shared" si="8"/>
        <v>19658127</v>
      </c>
    </row>
    <row r="34" spans="1:11" ht="12.75" customHeight="1" x14ac:dyDescent="0.25">
      <c r="A34" s="36" t="s">
        <v>440</v>
      </c>
      <c r="B34" s="348"/>
      <c r="C34" s="526">
        <v>75234761.210000008</v>
      </c>
      <c r="D34" s="328">
        <v>76178485</v>
      </c>
      <c r="E34" s="329">
        <v>76776868</v>
      </c>
      <c r="F34" s="940">
        <v>6248034.0999999996</v>
      </c>
      <c r="G34" s="940">
        <v>53309676.120000027</v>
      </c>
      <c r="H34" s="329">
        <f t="shared" si="5"/>
        <v>76776868</v>
      </c>
      <c r="I34" s="41">
        <f t="shared" si="6"/>
        <v>-23467191.879999973</v>
      </c>
      <c r="J34" s="165">
        <f t="shared" si="7"/>
        <v>-0.30565445675642788</v>
      </c>
      <c r="K34" s="517">
        <f t="shared" si="8"/>
        <v>76776868</v>
      </c>
    </row>
    <row r="35" spans="1:11" ht="12.75" customHeight="1" x14ac:dyDescent="0.25">
      <c r="A35" s="36" t="s">
        <v>590</v>
      </c>
      <c r="B35" s="348"/>
      <c r="C35" s="526">
        <v>0</v>
      </c>
      <c r="D35" s="328">
        <v>3303581</v>
      </c>
      <c r="E35" s="329">
        <v>3303581</v>
      </c>
      <c r="F35" s="940">
        <v>0</v>
      </c>
      <c r="G35" s="940">
        <v>108978.62</v>
      </c>
      <c r="H35" s="329">
        <f t="shared" si="5"/>
        <v>3303581</v>
      </c>
      <c r="I35" s="41">
        <f t="shared" si="6"/>
        <v>-3194602.38</v>
      </c>
      <c r="J35" s="165">
        <f t="shared" si="7"/>
        <v>-0.96701197276531126</v>
      </c>
      <c r="K35" s="517">
        <f t="shared" si="8"/>
        <v>3303581</v>
      </c>
    </row>
    <row r="36" spans="1:11" ht="12.75" customHeight="1" x14ac:dyDescent="0.25">
      <c r="A36" s="81" t="s">
        <v>493</v>
      </c>
      <c r="B36" s="350"/>
      <c r="C36" s="206">
        <f t="shared" ref="C36:K36" si="9">SUM(C25:C35)</f>
        <v>957098343.43999994</v>
      </c>
      <c r="D36" s="66">
        <f>SUM(D25:D35)</f>
        <v>1011347518</v>
      </c>
      <c r="E36" s="65">
        <f>SUM(E25:E35)</f>
        <v>1008968148</v>
      </c>
      <c r="F36" s="65">
        <f t="shared" si="9"/>
        <v>79874395.869999975</v>
      </c>
      <c r="G36" s="65">
        <f t="shared" si="9"/>
        <v>896520297.21000004</v>
      </c>
      <c r="H36" s="65">
        <f t="shared" si="9"/>
        <v>1008968148</v>
      </c>
      <c r="I36" s="65">
        <f t="shared" si="6"/>
        <v>-112447850.78999996</v>
      </c>
      <c r="J36" s="280">
        <f t="shared" si="7"/>
        <v>-0.11144836535513702</v>
      </c>
      <c r="K36" s="120">
        <f t="shared" si="9"/>
        <v>1008968148</v>
      </c>
    </row>
    <row r="37" spans="1:11" ht="5.0999999999999996" customHeight="1" x14ac:dyDescent="0.25">
      <c r="A37" s="39"/>
      <c r="B37" s="348"/>
      <c r="C37" s="111"/>
      <c r="D37" s="43"/>
      <c r="E37" s="41"/>
      <c r="F37" s="41"/>
      <c r="G37" s="41"/>
      <c r="H37" s="41"/>
      <c r="I37" s="41"/>
      <c r="J37" s="41"/>
      <c r="K37" s="119"/>
    </row>
    <row r="38" spans="1:11" ht="12.75" customHeight="1" x14ac:dyDescent="0.25">
      <c r="A38" s="77" t="s">
        <v>494</v>
      </c>
      <c r="B38" s="348"/>
      <c r="C38" s="91">
        <f t="shared" ref="C38:H38" si="10">C22-C36</f>
        <v>-29230091.529999971</v>
      </c>
      <c r="D38" s="47">
        <f t="shared" si="10"/>
        <v>-17218471</v>
      </c>
      <c r="E38" s="46">
        <f t="shared" si="10"/>
        <v>11971582</v>
      </c>
      <c r="F38" s="46">
        <f t="shared" si="10"/>
        <v>1301911.7700000256</v>
      </c>
      <c r="G38" s="46">
        <f t="shared" si="10"/>
        <v>66014432.279999971</v>
      </c>
      <c r="H38" s="46">
        <f t="shared" si="10"/>
        <v>11971582</v>
      </c>
      <c r="I38" s="46">
        <f>I22-I36</f>
        <v>54042850.279999971</v>
      </c>
      <c r="J38" s="46">
        <f t="shared" si="7"/>
        <v>4.5142613799913809</v>
      </c>
      <c r="K38" s="159">
        <f>K22-K36</f>
        <v>11971582</v>
      </c>
    </row>
    <row r="39" spans="1:11" ht="25.5" customHeight="1" x14ac:dyDescent="0.25">
      <c r="A39" s="93" t="s">
        <v>1152</v>
      </c>
      <c r="B39" s="348"/>
      <c r="C39" s="526">
        <v>131654444.79999998</v>
      </c>
      <c r="D39" s="328">
        <v>141090000</v>
      </c>
      <c r="E39" s="329">
        <v>155996715</v>
      </c>
      <c r="F39" s="941">
        <v>0</v>
      </c>
      <c r="G39" s="941">
        <v>0</v>
      </c>
      <c r="H39" s="329">
        <f>E39/12*$L$1</f>
        <v>155996715</v>
      </c>
      <c r="I39" s="41">
        <f>G39-H39</f>
        <v>-155996715</v>
      </c>
      <c r="J39" s="46">
        <f t="shared" si="7"/>
        <v>-1</v>
      </c>
      <c r="K39" s="517">
        <f>E39</f>
        <v>155996715</v>
      </c>
    </row>
    <row r="40" spans="1:11" ht="39.6" customHeight="1" x14ac:dyDescent="0.25">
      <c r="A40" s="93" t="s">
        <v>1153</v>
      </c>
      <c r="B40" s="348"/>
      <c r="C40" s="526">
        <v>0</v>
      </c>
      <c r="D40" s="328">
        <v>0</v>
      </c>
      <c r="E40" s="329">
        <v>0</v>
      </c>
      <c r="F40" s="941">
        <v>0</v>
      </c>
      <c r="G40" s="941">
        <v>0</v>
      </c>
      <c r="H40" s="329">
        <f>E40/12*$L$1</f>
        <v>0</v>
      </c>
      <c r="I40" s="41">
        <f>G40-H40</f>
        <v>0</v>
      </c>
      <c r="J40" s="46" t="str">
        <f t="shared" si="7"/>
        <v/>
      </c>
      <c r="K40" s="517">
        <f>E40</f>
        <v>0</v>
      </c>
    </row>
    <row r="41" spans="1:11" ht="12.75" customHeight="1" x14ac:dyDescent="0.25">
      <c r="A41" s="36" t="s">
        <v>1154</v>
      </c>
      <c r="B41" s="348"/>
      <c r="C41" s="527">
        <v>0</v>
      </c>
      <c r="D41" s="528">
        <v>0</v>
      </c>
      <c r="E41" s="529">
        <v>500000</v>
      </c>
      <c r="F41" s="942">
        <v>0</v>
      </c>
      <c r="G41" s="942">
        <v>0</v>
      </c>
      <c r="H41" s="529">
        <f>E41/12*$L$1</f>
        <v>500000</v>
      </c>
      <c r="I41" s="41">
        <f>G41-H41</f>
        <v>-500000</v>
      </c>
      <c r="J41" s="46">
        <f t="shared" si="7"/>
        <v>-1</v>
      </c>
      <c r="K41" s="530">
        <f>E41</f>
        <v>500000</v>
      </c>
    </row>
    <row r="42" spans="1:11" ht="25.5" x14ac:dyDescent="0.25">
      <c r="A42" s="213" t="s">
        <v>765</v>
      </c>
      <c r="B42" s="409"/>
      <c r="C42" s="215">
        <f t="shared" ref="C42:H42" si="11">C38+SUM(C39:C41)</f>
        <v>102424353.27000001</v>
      </c>
      <c r="D42" s="216">
        <f t="shared" si="11"/>
        <v>123871529</v>
      </c>
      <c r="E42" s="217">
        <f t="shared" si="11"/>
        <v>168468297</v>
      </c>
      <c r="F42" s="217">
        <f t="shared" si="11"/>
        <v>1301911.7700000256</v>
      </c>
      <c r="G42" s="217">
        <f t="shared" si="11"/>
        <v>66014432.279999971</v>
      </c>
      <c r="H42" s="217">
        <f t="shared" si="11"/>
        <v>168468297</v>
      </c>
      <c r="I42" s="279"/>
      <c r="J42" s="279"/>
      <c r="K42" s="218">
        <f>K38+SUM(K39:K41)</f>
        <v>168468297</v>
      </c>
    </row>
    <row r="43" spans="1:11" ht="12.75" customHeight="1" x14ac:dyDescent="0.25">
      <c r="A43" s="36" t="s">
        <v>470</v>
      </c>
      <c r="B43" s="348"/>
      <c r="C43" s="527">
        <v>0</v>
      </c>
      <c r="D43" s="528">
        <v>0</v>
      </c>
      <c r="E43" s="529">
        <v>0</v>
      </c>
      <c r="F43" s="529">
        <v>0</v>
      </c>
      <c r="G43" s="529">
        <v>0</v>
      </c>
      <c r="H43" s="529">
        <f>E43/12*$L$1</f>
        <v>0</v>
      </c>
      <c r="I43" s="85">
        <f>G43-H43</f>
        <v>0</v>
      </c>
      <c r="J43" s="85" t="str">
        <f>IF(I43=0,"",I43/H43)</f>
        <v/>
      </c>
      <c r="K43" s="530">
        <f>E43</f>
        <v>0</v>
      </c>
    </row>
    <row r="44" spans="1:11" ht="12.75" customHeight="1" x14ac:dyDescent="0.25">
      <c r="A44" s="77" t="s">
        <v>471</v>
      </c>
      <c r="B44" s="348"/>
      <c r="C44" s="91">
        <f t="shared" ref="C44:H44" si="12">C42-C43</f>
        <v>102424353.27000001</v>
      </c>
      <c r="D44" s="47">
        <f t="shared" si="12"/>
        <v>123871529</v>
      </c>
      <c r="E44" s="46">
        <f t="shared" si="12"/>
        <v>168468297</v>
      </c>
      <c r="F44" s="46">
        <f t="shared" si="12"/>
        <v>1301911.7700000256</v>
      </c>
      <c r="G44" s="46">
        <f t="shared" si="12"/>
        <v>66014432.279999971</v>
      </c>
      <c r="H44" s="46">
        <f t="shared" si="12"/>
        <v>168468297</v>
      </c>
      <c r="I44" s="277"/>
      <c r="J44" s="277"/>
      <c r="K44" s="159">
        <f>K42-K43</f>
        <v>168468297</v>
      </c>
    </row>
    <row r="45" spans="1:11" ht="12.75" customHeight="1" x14ac:dyDescent="0.25">
      <c r="A45" s="36" t="s">
        <v>472</v>
      </c>
      <c r="B45" s="348"/>
      <c r="C45" s="526">
        <v>0</v>
      </c>
      <c r="D45" s="328">
        <v>0</v>
      </c>
      <c r="E45" s="329">
        <v>0</v>
      </c>
      <c r="F45" s="329">
        <v>0</v>
      </c>
      <c r="G45" s="329">
        <v>0</v>
      </c>
      <c r="H45" s="329">
        <f>E45/12*$L$1</f>
        <v>0</v>
      </c>
      <c r="I45" s="232"/>
      <c r="J45" s="232"/>
      <c r="K45" s="517">
        <f>E45</f>
        <v>0</v>
      </c>
    </row>
    <row r="46" spans="1:11" ht="12.75" customHeight="1" x14ac:dyDescent="0.25">
      <c r="A46" s="415" t="s">
        <v>144</v>
      </c>
      <c r="B46" s="346"/>
      <c r="C46" s="417">
        <f t="shared" ref="C46:H46" si="13">SUM(C44:C45)</f>
        <v>102424353.27000001</v>
      </c>
      <c r="D46" s="418">
        <f t="shared" si="13"/>
        <v>123871529</v>
      </c>
      <c r="E46" s="416">
        <f t="shared" si="13"/>
        <v>168468297</v>
      </c>
      <c r="F46" s="416">
        <f t="shared" si="13"/>
        <v>1301911.7700000256</v>
      </c>
      <c r="G46" s="416">
        <f t="shared" si="13"/>
        <v>66014432.279999971</v>
      </c>
      <c r="H46" s="416">
        <f t="shared" si="13"/>
        <v>168468297</v>
      </c>
      <c r="I46" s="232"/>
      <c r="J46" s="232"/>
      <c r="K46" s="417">
        <f>SUM(K44:K45)</f>
        <v>168468297</v>
      </c>
    </row>
    <row r="47" spans="1:11" ht="12.75" customHeight="1" x14ac:dyDescent="0.25">
      <c r="A47" s="219" t="s">
        <v>483</v>
      </c>
      <c r="B47" s="408"/>
      <c r="C47" s="527">
        <v>0</v>
      </c>
      <c r="D47" s="528">
        <v>0</v>
      </c>
      <c r="E47" s="529">
        <v>0</v>
      </c>
      <c r="F47" s="529">
        <v>0</v>
      </c>
      <c r="G47" s="529">
        <v>0</v>
      </c>
      <c r="H47" s="529">
        <f>E47/12*$L$1</f>
        <v>0</v>
      </c>
      <c r="I47" s="278"/>
      <c r="J47" s="278"/>
      <c r="K47" s="530">
        <f>E47</f>
        <v>0</v>
      </c>
    </row>
    <row r="48" spans="1:11" ht="12.75" customHeight="1" x14ac:dyDescent="0.25">
      <c r="A48" s="83" t="s">
        <v>907</v>
      </c>
      <c r="B48" s="347"/>
      <c r="C48" s="207">
        <f t="shared" ref="C48:H48" si="14">C46+C47</f>
        <v>102424353.27000001</v>
      </c>
      <c r="D48" s="69">
        <f t="shared" si="14"/>
        <v>123871529</v>
      </c>
      <c r="E48" s="68">
        <f t="shared" si="14"/>
        <v>168468297</v>
      </c>
      <c r="F48" s="68">
        <f t="shared" si="14"/>
        <v>1301911.7700000256</v>
      </c>
      <c r="G48" s="68">
        <f t="shared" si="14"/>
        <v>66014432.279999971</v>
      </c>
      <c r="H48" s="68">
        <f t="shared" si="14"/>
        <v>168468297</v>
      </c>
      <c r="I48" s="283"/>
      <c r="J48" s="283"/>
      <c r="K48" s="197">
        <f>K46+K47</f>
        <v>168468297</v>
      </c>
    </row>
    <row r="49" spans="1:12" ht="12.75" customHeight="1" x14ac:dyDescent="0.25">
      <c r="A49" s="687" t="str">
        <f>head27a</f>
        <v>References</v>
      </c>
      <c r="B49" s="70"/>
      <c r="C49" s="70"/>
      <c r="D49" s="70"/>
      <c r="E49" s="70"/>
      <c r="F49" s="70"/>
      <c r="G49" s="70"/>
      <c r="H49" s="70"/>
      <c r="I49" s="70"/>
      <c r="J49" s="70"/>
      <c r="K49" s="701"/>
      <c r="L49" s="70"/>
    </row>
    <row r="50" spans="1:12" ht="12.75" customHeight="1" x14ac:dyDescent="0.25">
      <c r="A50" s="78" t="s">
        <v>145</v>
      </c>
      <c r="B50" s="70"/>
      <c r="C50" s="70"/>
      <c r="D50" s="70"/>
      <c r="E50" s="70"/>
      <c r="F50" s="70"/>
      <c r="G50" s="70"/>
      <c r="H50" s="70"/>
      <c r="I50" s="70"/>
      <c r="J50" s="70"/>
      <c r="K50" s="701"/>
      <c r="L50" s="70"/>
    </row>
    <row r="51" spans="1:12" ht="11.25" customHeight="1" x14ac:dyDescent="0.25">
      <c r="A51" s="39"/>
      <c r="C51" s="55"/>
      <c r="D51" s="55"/>
      <c r="E51" s="55"/>
      <c r="F51" s="55"/>
      <c r="G51" s="55"/>
      <c r="H51" s="55"/>
      <c r="I51" s="55"/>
      <c r="J51" s="55"/>
      <c r="K51" s="381"/>
    </row>
    <row r="52" spans="1:12" ht="11.25" customHeight="1" x14ac:dyDescent="0.25">
      <c r="A52" s="78"/>
      <c r="C52" s="55"/>
      <c r="D52" s="55"/>
      <c r="E52" s="55"/>
      <c r="F52" s="55"/>
      <c r="G52" s="55"/>
      <c r="H52" s="55"/>
      <c r="I52" s="55"/>
      <c r="J52" s="55"/>
      <c r="K52" s="381"/>
    </row>
    <row r="53" spans="1:12" ht="11.25" customHeight="1" x14ac:dyDescent="0.25">
      <c r="A53" s="702" t="str">
        <f>A22&amp;" including capital transfers/contributions etc"</f>
        <v>Total Revenue (excluding capital transfers and contributions) including capital transfers/contributions etc</v>
      </c>
      <c r="C53" s="55">
        <f t="shared" ref="C53:I53" si="15">C22+SUM(C39:C41)</f>
        <v>1059522696.7099999</v>
      </c>
      <c r="D53" s="55">
        <f t="shared" si="15"/>
        <v>1135219047</v>
      </c>
      <c r="E53" s="55">
        <f t="shared" si="15"/>
        <v>1177436445</v>
      </c>
      <c r="F53" s="55">
        <f t="shared" si="15"/>
        <v>81176307.640000001</v>
      </c>
      <c r="G53" s="55">
        <f t="shared" si="15"/>
        <v>962534729.49000001</v>
      </c>
      <c r="H53" s="55">
        <f t="shared" si="15"/>
        <v>1177436445</v>
      </c>
      <c r="I53" s="55">
        <f t="shared" si="15"/>
        <v>-214901715.50999999</v>
      </c>
      <c r="J53" s="55"/>
      <c r="K53" s="381">
        <f>K22+SUM(K39:K41)</f>
        <v>1177436445</v>
      </c>
    </row>
    <row r="54" spans="1:12" ht="11.25" customHeight="1" x14ac:dyDescent="0.25">
      <c r="A54" s="703"/>
      <c r="B54" s="681"/>
      <c r="C54" s="682"/>
      <c r="D54" s="682"/>
      <c r="E54" s="682"/>
      <c r="F54" s="682"/>
      <c r="G54" s="682"/>
      <c r="H54" s="682"/>
      <c r="I54" s="682"/>
      <c r="J54" s="682"/>
      <c r="K54" s="683"/>
    </row>
  </sheetData>
  <mergeCells count="4">
    <mergeCell ref="A2:A3"/>
    <mergeCell ref="B2:B3"/>
    <mergeCell ref="D2:K2"/>
    <mergeCell ref="A1:K1"/>
  </mergeCells>
  <phoneticPr fontId="3" type="noConversion"/>
  <printOptions horizontalCentered="1"/>
  <pageMargins left="0.19685039370078741" right="0.19685039370078741" top="0.59055118110236227" bottom="0.59055118110236227" header="0.51181102362204722" footer="0.51181102362204722"/>
  <pageSetup paperSize="9" scale="90" orientation="portrait" r:id="rId1"/>
  <headerFooter alignWithMargins="0"/>
  <ignoredErrors>
    <ignoredError sqref="H6:K21 H47:K47" unlockedFormula="1"/>
    <ignoredError sqref="H22:K46" formula="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3">
    <tabColor indexed="44"/>
    <pageSetUpPr fitToPage="1"/>
  </sheetPr>
  <dimension ref="A1:L85"/>
  <sheetViews>
    <sheetView showGridLines="0" view="pageBreakPreview" zoomScaleNormal="100" zoomScaleSheetLayoutView="100" workbookViewId="0">
      <pane xSplit="2" ySplit="4" topLeftCell="C57" activePane="bottomRight" state="frozen"/>
      <selection pane="topRight"/>
      <selection pane="bottomLeft"/>
      <selection pane="bottomRight" activeCell="G82" sqref="G82"/>
    </sheetView>
  </sheetViews>
  <sheetFormatPr defaultColWidth="9.140625" defaultRowHeight="12.75" x14ac:dyDescent="0.25"/>
  <cols>
    <col min="1" max="1" width="35.140625" style="22" customWidth="1"/>
    <col min="2" max="2" width="3.140625" style="54" customWidth="1"/>
    <col min="3" max="8" width="8.7109375" style="22" customWidth="1"/>
    <col min="9" max="10" width="6.7109375" style="22" customWidth="1"/>
    <col min="11" max="11" width="8.7109375" style="22" customWidth="1"/>
    <col min="12" max="12" width="9.85546875" style="22" hidden="1" customWidth="1"/>
    <col min="13" max="13" width="9.5703125" style="22" customWidth="1"/>
    <col min="14" max="14" width="9.85546875" style="22" customWidth="1"/>
    <col min="15" max="17" width="9.5703125" style="22" customWidth="1"/>
    <col min="18" max="18" width="9.85546875" style="22" customWidth="1"/>
    <col min="19" max="21" width="9.5703125" style="22" customWidth="1"/>
    <col min="22" max="23" width="9.85546875" style="22" customWidth="1"/>
    <col min="24" max="16384" width="9.140625" style="22"/>
  </cols>
  <sheetData>
    <row r="1" spans="1:12" ht="28.5" customHeight="1" x14ac:dyDescent="0.25">
      <c r="A1" s="982" t="str">
        <f>muni&amp; " - "&amp;S71D&amp; " - "&amp;date</f>
        <v>WC025 Breede Valley - Table C5 Monthly Budget Statement - Capital Expenditure (municipal vote, functional classification and funding) - Q4 Fourth Quarter</v>
      </c>
      <c r="B1" s="983"/>
      <c r="C1" s="983"/>
      <c r="D1" s="983"/>
      <c r="E1" s="983"/>
      <c r="F1" s="983"/>
      <c r="G1" s="983"/>
      <c r="H1" s="983"/>
      <c r="I1" s="983"/>
      <c r="J1" s="983"/>
      <c r="K1" s="984"/>
      <c r="L1" s="22">
        <v>12</v>
      </c>
    </row>
    <row r="2" spans="1:12" x14ac:dyDescent="0.25">
      <c r="A2" s="980" t="str">
        <f>Vdesc</f>
        <v>Vote Description</v>
      </c>
      <c r="B2" s="989" t="str">
        <f>head27</f>
        <v>Ref</v>
      </c>
      <c r="C2" s="115" t="str">
        <f>Head1</f>
        <v>2017/18</v>
      </c>
      <c r="D2" s="208" t="str">
        <f>Head2</f>
        <v>Budget Year 2018/19</v>
      </c>
      <c r="E2" s="192"/>
      <c r="F2" s="192"/>
      <c r="G2" s="192"/>
      <c r="H2" s="192"/>
      <c r="I2" s="192"/>
      <c r="J2" s="192"/>
      <c r="K2" s="193"/>
    </row>
    <row r="3" spans="1:12" ht="25.5" x14ac:dyDescent="0.25">
      <c r="A3" s="981"/>
      <c r="B3" s="990"/>
      <c r="C3" s="132" t="str">
        <f>Head5</f>
        <v>Audited Outcome</v>
      </c>
      <c r="D3" s="220" t="str">
        <f>Head6</f>
        <v>Original Budget</v>
      </c>
      <c r="E3" s="116" t="str">
        <f>Head7</f>
        <v>Adjusted Budget</v>
      </c>
      <c r="F3" s="116" t="str">
        <f>Head38</f>
        <v>Monthly actual</v>
      </c>
      <c r="G3" s="116" t="str">
        <f>Head39</f>
        <v>YearTD actual</v>
      </c>
      <c r="H3" s="116" t="str">
        <f>Head40</f>
        <v>YearTD budget</v>
      </c>
      <c r="I3" s="116" t="str">
        <f>Head41</f>
        <v>YTD variance</v>
      </c>
      <c r="J3" s="170" t="str">
        <f>Head41</f>
        <v>YTD variance</v>
      </c>
      <c r="K3" s="137" t="str">
        <f>Head8</f>
        <v>Full Year Forecast</v>
      </c>
    </row>
    <row r="4" spans="1:12" x14ac:dyDescent="0.25">
      <c r="A4" s="31" t="s">
        <v>678</v>
      </c>
      <c r="B4" s="347">
        <v>1</v>
      </c>
      <c r="C4" s="153"/>
      <c r="D4" s="209"/>
      <c r="E4" s="204"/>
      <c r="F4" s="74"/>
      <c r="G4" s="74"/>
      <c r="H4" s="74"/>
      <c r="I4" s="74"/>
      <c r="J4" s="205" t="s">
        <v>586</v>
      </c>
      <c r="K4" s="187"/>
    </row>
    <row r="5" spans="1:12" ht="11.25" customHeight="1" x14ac:dyDescent="0.25">
      <c r="A5" s="149" t="s">
        <v>673</v>
      </c>
      <c r="B5" s="407">
        <v>2</v>
      </c>
      <c r="C5" s="111"/>
      <c r="D5" s="221"/>
      <c r="E5" s="41"/>
      <c r="F5" s="41"/>
      <c r="G5" s="41"/>
      <c r="H5" s="41"/>
      <c r="I5" s="41"/>
      <c r="J5" s="41"/>
      <c r="K5" s="119"/>
    </row>
    <row r="6" spans="1:12" ht="13.5" customHeight="1" x14ac:dyDescent="0.25">
      <c r="A6" s="36" t="str">
        <f>'Org structure'!A2</f>
        <v>Vote 1 - Council General</v>
      </c>
      <c r="B6" s="348"/>
      <c r="C6" s="111">
        <f>'C5C'!C7</f>
        <v>0</v>
      </c>
      <c r="D6" s="221">
        <f>'C5C'!D7</f>
        <v>0</v>
      </c>
      <c r="E6" s="41">
        <f>'C5C'!E7</f>
        <v>0</v>
      </c>
      <c r="F6" s="41">
        <f>'C5C'!F7</f>
        <v>0</v>
      </c>
      <c r="G6" s="41">
        <f>'C5C'!G7</f>
        <v>0</v>
      </c>
      <c r="H6" s="41">
        <f>'C5C'!H7</f>
        <v>0</v>
      </c>
      <c r="I6" s="41">
        <f>G6-H6</f>
        <v>0</v>
      </c>
      <c r="J6" s="165" t="str">
        <f>IF(I6=0,"",I6/H6)</f>
        <v/>
      </c>
      <c r="K6" s="119">
        <f>'C5C'!K7</f>
        <v>0</v>
      </c>
    </row>
    <row r="7" spans="1:12" ht="13.5" customHeight="1" x14ac:dyDescent="0.25">
      <c r="A7" s="36" t="str">
        <f>'Org structure'!A3</f>
        <v>Vote 2 - Municipal Manager</v>
      </c>
      <c r="B7" s="348"/>
      <c r="C7" s="111">
        <f>'C5C'!C18</f>
        <v>0</v>
      </c>
      <c r="D7" s="221">
        <f>'C5C'!D18</f>
        <v>3200000</v>
      </c>
      <c r="E7" s="41">
        <f>'C5C'!E18</f>
        <v>4413891</v>
      </c>
      <c r="F7" s="41">
        <f>'C5C'!F18</f>
        <v>663962.87</v>
      </c>
      <c r="G7" s="41">
        <f>'C5C'!G18</f>
        <v>2200698.9900000002</v>
      </c>
      <c r="H7" s="41">
        <f>'C5C'!H18</f>
        <v>4413891</v>
      </c>
      <c r="I7" s="41">
        <f>G7-H7</f>
        <v>-2213192.0099999998</v>
      </c>
      <c r="J7" s="165">
        <f>IF(I7=0,"",I7/H7)</f>
        <v>-0.50141519353332464</v>
      </c>
      <c r="K7" s="119">
        <f>'C5C'!K18</f>
        <v>4413891</v>
      </c>
    </row>
    <row r="8" spans="1:12" ht="13.5" customHeight="1" x14ac:dyDescent="0.25">
      <c r="A8" s="36" t="str">
        <f>'Org structure'!A4</f>
        <v>Vote 3 - Strategic Support Services</v>
      </c>
      <c r="B8" s="348"/>
      <c r="C8" s="111">
        <f>'C5C'!C29</f>
        <v>0</v>
      </c>
      <c r="D8" s="221">
        <f>'C5C'!D29</f>
        <v>7062800</v>
      </c>
      <c r="E8" s="41">
        <f>'C5C'!E29</f>
        <v>8871000</v>
      </c>
      <c r="F8" s="41">
        <f>'C5C'!F29</f>
        <v>927825.6</v>
      </c>
      <c r="G8" s="41">
        <f>'C5C'!G29</f>
        <v>3966160.5</v>
      </c>
      <c r="H8" s="41">
        <f>'C5C'!H29</f>
        <v>8871000</v>
      </c>
      <c r="I8" s="41">
        <f t="shared" ref="I8:I17" si="0">G8-H8</f>
        <v>-4904839.5</v>
      </c>
      <c r="J8" s="165">
        <f t="shared" ref="J8:J17" si="1">IF(I8=0,"",I8/H8)</f>
        <v>-0.55290716942847484</v>
      </c>
      <c r="K8" s="119">
        <f>'C5C'!K29</f>
        <v>8871000</v>
      </c>
      <c r="L8" s="493"/>
    </row>
    <row r="9" spans="1:12" ht="13.5" customHeight="1" x14ac:dyDescent="0.25">
      <c r="A9" s="36" t="str">
        <f>'Org structure'!A5</f>
        <v>Vote 4 - Financial Services</v>
      </c>
      <c r="B9" s="348"/>
      <c r="C9" s="111">
        <f>'C5C'!C40</f>
        <v>0</v>
      </c>
      <c r="D9" s="221">
        <f>'C5C'!D40</f>
        <v>800000</v>
      </c>
      <c r="E9" s="41">
        <f>'C5C'!E40</f>
        <v>1520000</v>
      </c>
      <c r="F9" s="41">
        <f>'C5C'!F40</f>
        <v>741857.36</v>
      </c>
      <c r="G9" s="41">
        <f>'C5C'!G40</f>
        <v>1247175.8799999999</v>
      </c>
      <c r="H9" s="41">
        <f>'C5C'!H40</f>
        <v>1520000</v>
      </c>
      <c r="I9" s="41">
        <f t="shared" si="0"/>
        <v>-272824.12000000011</v>
      </c>
      <c r="J9" s="165">
        <f t="shared" si="1"/>
        <v>-0.17948955263157901</v>
      </c>
      <c r="K9" s="119">
        <f>'C5C'!K40</f>
        <v>1520000</v>
      </c>
      <c r="L9" s="493"/>
    </row>
    <row r="10" spans="1:12" ht="13.5" customHeight="1" x14ac:dyDescent="0.25">
      <c r="A10" s="36" t="str">
        <f>'Org structure'!A6</f>
        <v>Vote 5 - Community Services</v>
      </c>
      <c r="B10" s="348"/>
      <c r="C10" s="111">
        <f>'C5C'!C51</f>
        <v>0</v>
      </c>
      <c r="D10" s="221">
        <f>'C5C'!D51</f>
        <v>7806405</v>
      </c>
      <c r="E10" s="41">
        <f>'C5C'!E51</f>
        <v>6486860</v>
      </c>
      <c r="F10" s="41">
        <f>'C5C'!F51</f>
        <v>3550451.1399999997</v>
      </c>
      <c r="G10" s="41">
        <f>'C5C'!G51</f>
        <v>7356201.5500000007</v>
      </c>
      <c r="H10" s="41">
        <f>'C5C'!H51</f>
        <v>6486860</v>
      </c>
      <c r="I10" s="41">
        <f t="shared" si="0"/>
        <v>869341.55000000075</v>
      </c>
      <c r="J10" s="165">
        <f t="shared" si="1"/>
        <v>0.13401577188346916</v>
      </c>
      <c r="K10" s="119">
        <f>'C5C'!K51</f>
        <v>6486860</v>
      </c>
      <c r="L10" s="493"/>
    </row>
    <row r="11" spans="1:12" ht="13.5" customHeight="1" x14ac:dyDescent="0.25">
      <c r="A11" s="36" t="str">
        <f>'Org structure'!A7</f>
        <v>Vote 6 - Technical Services</v>
      </c>
      <c r="B11" s="348"/>
      <c r="C11" s="111">
        <f>'C5C'!C62</f>
        <v>0</v>
      </c>
      <c r="D11" s="221">
        <f>'C5C'!D62</f>
        <v>153150788</v>
      </c>
      <c r="E11" s="41">
        <f>'C5C'!E62</f>
        <v>177484178</v>
      </c>
      <c r="F11" s="41">
        <f>'C5C'!F62</f>
        <v>22223022.199999999</v>
      </c>
      <c r="G11" s="41">
        <f>'C5C'!G62</f>
        <v>193013659.43000001</v>
      </c>
      <c r="H11" s="41">
        <f>'C5C'!H62</f>
        <v>177484178</v>
      </c>
      <c r="I11" s="41">
        <f t="shared" si="0"/>
        <v>15529481.430000007</v>
      </c>
      <c r="J11" s="165">
        <f t="shared" si="1"/>
        <v>8.749783560988747E-2</v>
      </c>
      <c r="K11" s="119">
        <f>'C5C'!K62</f>
        <v>177484178</v>
      </c>
      <c r="L11" s="493"/>
    </row>
    <row r="12" spans="1:12" ht="13.5" customHeight="1" x14ac:dyDescent="0.25">
      <c r="A12" s="36" t="str">
        <f>'Org structure'!A8</f>
        <v>Vote 7 - [NAME OF VOTE 7]</v>
      </c>
      <c r="B12" s="348"/>
      <c r="C12" s="111">
        <f>'C5C'!C73</f>
        <v>0</v>
      </c>
      <c r="D12" s="221">
        <f>'C5C'!D73</f>
        <v>0</v>
      </c>
      <c r="E12" s="41">
        <f>'C5C'!E73</f>
        <v>0</v>
      </c>
      <c r="F12" s="41">
        <f>'C5C'!F73</f>
        <v>0</v>
      </c>
      <c r="G12" s="41">
        <f>'C5C'!G73</f>
        <v>0</v>
      </c>
      <c r="H12" s="41">
        <f>'C5C'!H73</f>
        <v>0</v>
      </c>
      <c r="I12" s="41">
        <f t="shared" si="0"/>
        <v>0</v>
      </c>
      <c r="J12" s="165" t="str">
        <f t="shared" si="1"/>
        <v/>
      </c>
      <c r="K12" s="119">
        <f>'C5C'!K73</f>
        <v>0</v>
      </c>
      <c r="L12" s="493"/>
    </row>
    <row r="13" spans="1:12" ht="13.5" customHeight="1" x14ac:dyDescent="0.25">
      <c r="A13" s="36" t="str">
        <f>'Org structure'!A9</f>
        <v>Vote 8 - [NAME OF VOTE 8]</v>
      </c>
      <c r="B13" s="348"/>
      <c r="C13" s="111">
        <f>'C5C'!C84</f>
        <v>0</v>
      </c>
      <c r="D13" s="221">
        <f>'C5C'!D84</f>
        <v>0</v>
      </c>
      <c r="E13" s="41">
        <f>'C5C'!E84</f>
        <v>0</v>
      </c>
      <c r="F13" s="41">
        <f>'C5C'!F84</f>
        <v>0</v>
      </c>
      <c r="G13" s="41">
        <f>'C5C'!G84</f>
        <v>0</v>
      </c>
      <c r="H13" s="41">
        <f>'C5C'!H84</f>
        <v>0</v>
      </c>
      <c r="I13" s="41">
        <f t="shared" si="0"/>
        <v>0</v>
      </c>
      <c r="J13" s="165" t="str">
        <f t="shared" si="1"/>
        <v/>
      </c>
      <c r="K13" s="119">
        <f>'C5C'!K84</f>
        <v>0</v>
      </c>
      <c r="L13" s="493"/>
    </row>
    <row r="14" spans="1:12" ht="13.5" customHeight="1" x14ac:dyDescent="0.25">
      <c r="A14" s="36" t="str">
        <f>'Org structure'!A10</f>
        <v>Vote 9 - [NAME OF VOTE 9]</v>
      </c>
      <c r="B14" s="348"/>
      <c r="C14" s="111">
        <f>'C5C'!C95</f>
        <v>0</v>
      </c>
      <c r="D14" s="221">
        <f>'C5C'!D95</f>
        <v>0</v>
      </c>
      <c r="E14" s="41">
        <f>'C5C'!E95</f>
        <v>0</v>
      </c>
      <c r="F14" s="41">
        <f>'C5C'!F95</f>
        <v>0</v>
      </c>
      <c r="G14" s="41">
        <f>'C5C'!G95</f>
        <v>0</v>
      </c>
      <c r="H14" s="41">
        <f>'C5C'!H95</f>
        <v>0</v>
      </c>
      <c r="I14" s="41">
        <f t="shared" si="0"/>
        <v>0</v>
      </c>
      <c r="J14" s="165" t="str">
        <f t="shared" si="1"/>
        <v/>
      </c>
      <c r="K14" s="119">
        <f>'C5C'!K95</f>
        <v>0</v>
      </c>
      <c r="L14" s="493"/>
    </row>
    <row r="15" spans="1:12" ht="13.5" customHeight="1" x14ac:dyDescent="0.25">
      <c r="A15" s="36" t="str">
        <f>'Org structure'!A11</f>
        <v>Vote 10 - [NAME OF VOTE 10]</v>
      </c>
      <c r="B15" s="348"/>
      <c r="C15" s="111">
        <f>'C5C'!C106</f>
        <v>0</v>
      </c>
      <c r="D15" s="221">
        <f>'C5C'!D106</f>
        <v>0</v>
      </c>
      <c r="E15" s="41">
        <f>'C5C'!E106</f>
        <v>0</v>
      </c>
      <c r="F15" s="41">
        <f>'C5C'!F106</f>
        <v>0</v>
      </c>
      <c r="G15" s="41">
        <f>'C5C'!G106</f>
        <v>0</v>
      </c>
      <c r="H15" s="41">
        <f>'C5C'!H106</f>
        <v>0</v>
      </c>
      <c r="I15" s="41">
        <f t="shared" si="0"/>
        <v>0</v>
      </c>
      <c r="J15" s="165" t="str">
        <f t="shared" si="1"/>
        <v/>
      </c>
      <c r="K15" s="119">
        <f>'C5C'!K106</f>
        <v>0</v>
      </c>
      <c r="L15" s="493"/>
    </row>
    <row r="16" spans="1:12" ht="13.5" customHeight="1" x14ac:dyDescent="0.25">
      <c r="A16" s="36" t="str">
        <f>'Org structure'!A12</f>
        <v>Vote 11 - [NAME OF VOTE 11]</v>
      </c>
      <c r="B16" s="348"/>
      <c r="C16" s="111">
        <f>'C5C'!C117</f>
        <v>0</v>
      </c>
      <c r="D16" s="221">
        <f>'C5C'!D117</f>
        <v>0</v>
      </c>
      <c r="E16" s="41">
        <f>'C5C'!E117</f>
        <v>0</v>
      </c>
      <c r="F16" s="41">
        <f>'C5C'!F117</f>
        <v>0</v>
      </c>
      <c r="G16" s="41">
        <f>'C5C'!G117</f>
        <v>0</v>
      </c>
      <c r="H16" s="41">
        <f>'C5C'!H117</f>
        <v>0</v>
      </c>
      <c r="I16" s="41">
        <f t="shared" si="0"/>
        <v>0</v>
      </c>
      <c r="J16" s="165" t="str">
        <f t="shared" si="1"/>
        <v/>
      </c>
      <c r="K16" s="119">
        <f>'C5C'!K117</f>
        <v>0</v>
      </c>
      <c r="L16" s="493"/>
    </row>
    <row r="17" spans="1:12" ht="13.5" customHeight="1" x14ac:dyDescent="0.25">
      <c r="A17" s="36" t="str">
        <f>'Org structure'!A13</f>
        <v>Vote 12 - [NAME OF VOTE 12]</v>
      </c>
      <c r="B17" s="348"/>
      <c r="C17" s="111">
        <f>'C5C'!C128</f>
        <v>0</v>
      </c>
      <c r="D17" s="221">
        <f>'C5C'!D128</f>
        <v>0</v>
      </c>
      <c r="E17" s="41">
        <f>'C5C'!E128</f>
        <v>0</v>
      </c>
      <c r="F17" s="41">
        <f>'C5C'!F128</f>
        <v>0</v>
      </c>
      <c r="G17" s="41">
        <f>'C5C'!G128</f>
        <v>0</v>
      </c>
      <c r="H17" s="41">
        <f>'C5C'!H128</f>
        <v>0</v>
      </c>
      <c r="I17" s="41">
        <f t="shared" si="0"/>
        <v>0</v>
      </c>
      <c r="J17" s="165" t="str">
        <f t="shared" si="1"/>
        <v/>
      </c>
      <c r="K17" s="119">
        <f>'C5C'!K128</f>
        <v>0</v>
      </c>
      <c r="L17" s="493"/>
    </row>
    <row r="18" spans="1:12" ht="13.5" customHeight="1" x14ac:dyDescent="0.25">
      <c r="A18" s="36" t="str">
        <f>'Org structure'!A14</f>
        <v>Vote 13 - [NAME OF VOTE 13]</v>
      </c>
      <c r="B18" s="348"/>
      <c r="C18" s="111">
        <f>'C5C'!C139</f>
        <v>0</v>
      </c>
      <c r="D18" s="221">
        <f>'C5C'!D139</f>
        <v>0</v>
      </c>
      <c r="E18" s="41">
        <f>'C5C'!E139</f>
        <v>0</v>
      </c>
      <c r="F18" s="41">
        <f>'C5C'!F139</f>
        <v>0</v>
      </c>
      <c r="G18" s="41">
        <f>'C5C'!G139</f>
        <v>0</v>
      </c>
      <c r="H18" s="41">
        <f>'C5C'!H139</f>
        <v>0</v>
      </c>
      <c r="I18" s="41">
        <f>G18-H18</f>
        <v>0</v>
      </c>
      <c r="J18" s="165" t="str">
        <f>IF(I18=0,"",I18/H18)</f>
        <v/>
      </c>
      <c r="K18" s="119">
        <f>'C5C'!K139</f>
        <v>0</v>
      </c>
      <c r="L18" s="493"/>
    </row>
    <row r="19" spans="1:12" ht="13.5" customHeight="1" x14ac:dyDescent="0.25">
      <c r="A19" s="36" t="str">
        <f>'Org structure'!A15</f>
        <v>Vote 14 - [NAME OF VOTE 14]</v>
      </c>
      <c r="B19" s="348"/>
      <c r="C19" s="111">
        <f>'C5C'!C150</f>
        <v>0</v>
      </c>
      <c r="D19" s="221">
        <f>'C5C'!D150</f>
        <v>0</v>
      </c>
      <c r="E19" s="41">
        <f>'C5C'!E150</f>
        <v>0</v>
      </c>
      <c r="F19" s="41">
        <f>'C5C'!F150</f>
        <v>0</v>
      </c>
      <c r="G19" s="41">
        <f>'C5C'!G150</f>
        <v>0</v>
      </c>
      <c r="H19" s="41">
        <f>'C5C'!H150</f>
        <v>0</v>
      </c>
      <c r="I19" s="41">
        <f>G19-H19</f>
        <v>0</v>
      </c>
      <c r="J19" s="165" t="str">
        <f>IF(I19=0,"",I19/H19)</f>
        <v/>
      </c>
      <c r="K19" s="119">
        <f>'C5C'!K150</f>
        <v>0</v>
      </c>
      <c r="L19" s="493"/>
    </row>
    <row r="20" spans="1:12" ht="13.5" customHeight="1" x14ac:dyDescent="0.25">
      <c r="A20" s="36" t="str">
        <f>'Org structure'!A16</f>
        <v>Vote 15 - [NAME OF VOTE 15]</v>
      </c>
      <c r="B20" s="348"/>
      <c r="C20" s="111">
        <f>'C5C'!C161</f>
        <v>0</v>
      </c>
      <c r="D20" s="221">
        <f>'C5C'!D161</f>
        <v>0</v>
      </c>
      <c r="E20" s="41">
        <f>'C5C'!E161</f>
        <v>0</v>
      </c>
      <c r="F20" s="41">
        <f>'C5C'!F161</f>
        <v>0</v>
      </c>
      <c r="G20" s="41">
        <f>'C5C'!G161</f>
        <v>0</v>
      </c>
      <c r="H20" s="41">
        <f>'C5C'!H161</f>
        <v>0</v>
      </c>
      <c r="I20" s="41">
        <f>G20-H20</f>
        <v>0</v>
      </c>
      <c r="J20" s="165" t="str">
        <f>IF(I20=0,"",I20/H20)</f>
        <v/>
      </c>
      <c r="K20" s="119">
        <f>'C5C'!K161</f>
        <v>0</v>
      </c>
      <c r="L20" s="493"/>
    </row>
    <row r="21" spans="1:12" ht="12.75" customHeight="1" x14ac:dyDescent="0.25">
      <c r="A21" s="77" t="s">
        <v>770</v>
      </c>
      <c r="B21" s="348" t="s">
        <v>531</v>
      </c>
      <c r="C21" s="406">
        <f>SUM(C6:C20)</f>
        <v>0</v>
      </c>
      <c r="D21" s="424">
        <f t="shared" ref="D21:I21" si="2">SUM(D6:D20)</f>
        <v>172019993</v>
      </c>
      <c r="E21" s="356">
        <f t="shared" si="2"/>
        <v>198775929</v>
      </c>
      <c r="F21" s="356">
        <f t="shared" si="2"/>
        <v>28107119.169999998</v>
      </c>
      <c r="G21" s="356">
        <f t="shared" si="2"/>
        <v>207783896.35000002</v>
      </c>
      <c r="H21" s="356">
        <f t="shared" si="2"/>
        <v>198775929</v>
      </c>
      <c r="I21" s="356">
        <f t="shared" si="2"/>
        <v>9007967.3500000089</v>
      </c>
      <c r="J21" s="357">
        <f>IF(I21=0,"",I21/H21)</f>
        <v>4.5317194065283471E-2</v>
      </c>
      <c r="K21" s="403">
        <f>SUM(K6:K20)</f>
        <v>198775929</v>
      </c>
    </row>
    <row r="22" spans="1:12" ht="5.0999999999999996" customHeight="1" x14ac:dyDescent="0.25">
      <c r="A22" s="39"/>
      <c r="B22" s="348"/>
      <c r="C22" s="111"/>
      <c r="D22" s="221"/>
      <c r="E22" s="41"/>
      <c r="F22" s="41"/>
      <c r="G22" s="41"/>
      <c r="H22" s="41"/>
      <c r="I22" s="41"/>
      <c r="J22" s="165"/>
      <c r="K22" s="119"/>
    </row>
    <row r="23" spans="1:12" ht="12.75" customHeight="1" x14ac:dyDescent="0.25">
      <c r="A23" s="32" t="s">
        <v>478</v>
      </c>
      <c r="B23" s="348">
        <v>2</v>
      </c>
      <c r="C23" s="111"/>
      <c r="D23" s="221"/>
      <c r="E23" s="41"/>
      <c r="F23" s="41"/>
      <c r="G23" s="41"/>
      <c r="H23" s="41"/>
      <c r="I23" s="41"/>
      <c r="J23" s="165"/>
      <c r="K23" s="119"/>
    </row>
    <row r="24" spans="1:12" ht="12.75" customHeight="1" x14ac:dyDescent="0.25">
      <c r="A24" s="36" t="str">
        <f>'Org structure'!A2</f>
        <v>Vote 1 - Council General</v>
      </c>
      <c r="B24" s="348"/>
      <c r="C24" s="111">
        <f>'C5C'!C176</f>
        <v>1701695.36</v>
      </c>
      <c r="D24" s="221">
        <f>'C5C'!D176</f>
        <v>5000</v>
      </c>
      <c r="E24" s="41">
        <f>'C5C'!E176</f>
        <v>12000</v>
      </c>
      <c r="F24" s="41">
        <f>'C5C'!F176</f>
        <v>-6270.92</v>
      </c>
      <c r="G24" s="41">
        <f>'C5C'!G176</f>
        <v>0</v>
      </c>
      <c r="H24" s="41">
        <f>'C5C'!H176</f>
        <v>12000</v>
      </c>
      <c r="I24" s="41">
        <f>'C5C'!I176</f>
        <v>-12000</v>
      </c>
      <c r="J24" s="165">
        <f>IF(I24=0,"",I24/H24)</f>
        <v>-1</v>
      </c>
      <c r="K24" s="119">
        <f>'C5C'!K176</f>
        <v>12000</v>
      </c>
    </row>
    <row r="25" spans="1:12" ht="12.75" customHeight="1" x14ac:dyDescent="0.25">
      <c r="A25" s="36" t="str">
        <f>'Org structure'!A3</f>
        <v>Vote 2 - Municipal Manager</v>
      </c>
      <c r="B25" s="348"/>
      <c r="C25" s="111">
        <f>'C5C'!C187</f>
        <v>8181099.120000001</v>
      </c>
      <c r="D25" s="221">
        <f>'C5C'!D187</f>
        <v>5000</v>
      </c>
      <c r="E25" s="41">
        <f>'C5C'!E187</f>
        <v>289527</v>
      </c>
      <c r="F25" s="41">
        <f>'C5C'!F187</f>
        <v>6270.92</v>
      </c>
      <c r="G25" s="41">
        <f>'C5C'!G187</f>
        <v>10470.92</v>
      </c>
      <c r="H25" s="41">
        <f>'C5C'!H187</f>
        <v>289527</v>
      </c>
      <c r="I25" s="41">
        <f>'C5C'!I187</f>
        <v>-279056.08</v>
      </c>
      <c r="J25" s="165">
        <f t="shared" ref="J25:J39" si="3">IF(I25=0,"",I25/H25)</f>
        <v>-0.96383439195653609</v>
      </c>
      <c r="K25" s="119">
        <f>'C5C'!K187</f>
        <v>289527</v>
      </c>
    </row>
    <row r="26" spans="1:12" ht="12.75" customHeight="1" x14ac:dyDescent="0.25">
      <c r="A26" s="36" t="str">
        <f>'Org structure'!A4</f>
        <v>Vote 3 - Strategic Support Services</v>
      </c>
      <c r="B26" s="348"/>
      <c r="C26" s="111">
        <f>'C5C'!C198</f>
        <v>5352301.6599999992</v>
      </c>
      <c r="D26" s="221">
        <f>'C5C'!D198</f>
        <v>7507000</v>
      </c>
      <c r="E26" s="41">
        <f>'C5C'!E198</f>
        <v>24065439</v>
      </c>
      <c r="F26" s="41">
        <f>'C5C'!F198</f>
        <v>19078.48</v>
      </c>
      <c r="G26" s="41">
        <f>'C5C'!G198</f>
        <v>21214274.91</v>
      </c>
      <c r="H26" s="41">
        <f>'C5C'!H198</f>
        <v>24065439</v>
      </c>
      <c r="I26" s="41">
        <f>'C5C'!I198</f>
        <v>-2851164.09</v>
      </c>
      <c r="J26" s="165">
        <f t="shared" si="3"/>
        <v>-0.11847546558365296</v>
      </c>
      <c r="K26" s="119">
        <f>'C5C'!K198</f>
        <v>24065439</v>
      </c>
      <c r="L26" s="493"/>
    </row>
    <row r="27" spans="1:12" ht="12.75" customHeight="1" x14ac:dyDescent="0.25">
      <c r="A27" s="36" t="str">
        <f>'Org structure'!A5</f>
        <v>Vote 4 - Financial Services</v>
      </c>
      <c r="B27" s="348"/>
      <c r="C27" s="111">
        <f>'C5C'!C209</f>
        <v>795402.12</v>
      </c>
      <c r="D27" s="221">
        <f>'C5C'!D209</f>
        <v>975000</v>
      </c>
      <c r="E27" s="41">
        <f>'C5C'!E209</f>
        <v>1390000</v>
      </c>
      <c r="F27" s="41">
        <f>'C5C'!F209</f>
        <v>70978.09</v>
      </c>
      <c r="G27" s="41">
        <f>'C5C'!G209</f>
        <v>75665.06</v>
      </c>
      <c r="H27" s="41">
        <f>'C5C'!H209</f>
        <v>1390000</v>
      </c>
      <c r="I27" s="41">
        <f>'C5C'!I209</f>
        <v>-1314334.94</v>
      </c>
      <c r="J27" s="165">
        <f t="shared" si="3"/>
        <v>-0.94556470503597123</v>
      </c>
      <c r="K27" s="119">
        <f>'C5C'!K209</f>
        <v>1390000</v>
      </c>
      <c r="L27" s="493"/>
    </row>
    <row r="28" spans="1:12" ht="12.75" customHeight="1" x14ac:dyDescent="0.25">
      <c r="A28" s="36" t="str">
        <f>'Org structure'!A6</f>
        <v>Vote 5 - Community Services</v>
      </c>
      <c r="B28" s="348"/>
      <c r="C28" s="111">
        <f>'C5C'!C220</f>
        <v>3769548.36</v>
      </c>
      <c r="D28" s="221">
        <f>'C5C'!D220</f>
        <v>8248000</v>
      </c>
      <c r="E28" s="41">
        <f>'C5C'!E220</f>
        <v>1874843.22</v>
      </c>
      <c r="F28" s="41">
        <f>'C5C'!F220</f>
        <v>279354.31000000006</v>
      </c>
      <c r="G28" s="41">
        <f>'C5C'!G220</f>
        <v>2395198.21</v>
      </c>
      <c r="H28" s="41">
        <f>'C5C'!H220</f>
        <v>1874843.22</v>
      </c>
      <c r="I28" s="41">
        <f>'C5C'!I220</f>
        <v>520354.99</v>
      </c>
      <c r="J28" s="165">
        <f t="shared" si="3"/>
        <v>0.27754586860868291</v>
      </c>
      <c r="K28" s="119">
        <f>'C5C'!K220</f>
        <v>1874843.22</v>
      </c>
      <c r="L28" s="493"/>
    </row>
    <row r="29" spans="1:12" ht="12.75" customHeight="1" x14ac:dyDescent="0.25">
      <c r="A29" s="36" t="str">
        <f>'Org structure'!A7</f>
        <v>Vote 6 - Technical Services</v>
      </c>
      <c r="B29" s="348"/>
      <c r="C29" s="111">
        <f>'C5C'!C231</f>
        <v>181222261.16999999</v>
      </c>
      <c r="D29" s="221">
        <f>'C5C'!D231</f>
        <v>37757184</v>
      </c>
      <c r="E29" s="41">
        <f>'C5C'!E231</f>
        <v>46045920</v>
      </c>
      <c r="F29" s="41">
        <f>'C5C'!F231</f>
        <v>266995</v>
      </c>
      <c r="G29" s="41">
        <f>'C5C'!G231</f>
        <v>1416508.9200000002</v>
      </c>
      <c r="H29" s="41">
        <f>'C5C'!H231</f>
        <v>46045920</v>
      </c>
      <c r="I29" s="41">
        <f>'C5C'!I231</f>
        <v>-44629411.079999998</v>
      </c>
      <c r="J29" s="165">
        <f t="shared" si="3"/>
        <v>-0.96923703728799415</v>
      </c>
      <c r="K29" s="119">
        <f>'C5C'!K231</f>
        <v>46045920</v>
      </c>
      <c r="L29" s="493"/>
    </row>
    <row r="30" spans="1:12" ht="12.75" customHeight="1" x14ac:dyDescent="0.25">
      <c r="A30" s="36" t="str">
        <f>'Org structure'!A8</f>
        <v>Vote 7 - [NAME OF VOTE 7]</v>
      </c>
      <c r="B30" s="348"/>
      <c r="C30" s="111">
        <f>'C5C'!C242</f>
        <v>0</v>
      </c>
      <c r="D30" s="221">
        <f>'C5C'!D242</f>
        <v>0</v>
      </c>
      <c r="E30" s="41">
        <f>'C5C'!E242</f>
        <v>0</v>
      </c>
      <c r="F30" s="41">
        <f>'C5C'!F242</f>
        <v>0</v>
      </c>
      <c r="G30" s="41">
        <f>'C5C'!G242</f>
        <v>0</v>
      </c>
      <c r="H30" s="41">
        <f>'C5C'!H242</f>
        <v>0</v>
      </c>
      <c r="I30" s="41">
        <f>'C5C'!I242</f>
        <v>0</v>
      </c>
      <c r="J30" s="165" t="str">
        <f t="shared" si="3"/>
        <v/>
      </c>
      <c r="K30" s="119">
        <f>'C5C'!K242</f>
        <v>0</v>
      </c>
      <c r="L30" s="493"/>
    </row>
    <row r="31" spans="1:12" ht="12.75" customHeight="1" x14ac:dyDescent="0.25">
      <c r="A31" s="36" t="str">
        <f>'Org structure'!A9</f>
        <v>Vote 8 - [NAME OF VOTE 8]</v>
      </c>
      <c r="B31" s="348"/>
      <c r="C31" s="111">
        <f>'C5C'!C253</f>
        <v>0</v>
      </c>
      <c r="D31" s="221">
        <f>'C5C'!D253</f>
        <v>0</v>
      </c>
      <c r="E31" s="41">
        <f>'C5C'!E253</f>
        <v>0</v>
      </c>
      <c r="F31" s="41">
        <f>'C5C'!F253</f>
        <v>0</v>
      </c>
      <c r="G31" s="41">
        <f>'C5C'!G253</f>
        <v>0</v>
      </c>
      <c r="H31" s="41">
        <f>'C5C'!H253</f>
        <v>0</v>
      </c>
      <c r="I31" s="41">
        <f>'C5C'!I253</f>
        <v>0</v>
      </c>
      <c r="J31" s="165" t="str">
        <f t="shared" si="3"/>
        <v/>
      </c>
      <c r="K31" s="119">
        <f>'C5C'!K253</f>
        <v>0</v>
      </c>
      <c r="L31" s="493"/>
    </row>
    <row r="32" spans="1:12" ht="12.75" customHeight="1" x14ac:dyDescent="0.25">
      <c r="A32" s="36" t="str">
        <f>'Org structure'!A10</f>
        <v>Vote 9 - [NAME OF VOTE 9]</v>
      </c>
      <c r="B32" s="348"/>
      <c r="C32" s="111">
        <f>'C5C'!C264</f>
        <v>0</v>
      </c>
      <c r="D32" s="221">
        <f>'C5C'!D264</f>
        <v>0</v>
      </c>
      <c r="E32" s="41">
        <f>'C5C'!E264</f>
        <v>0</v>
      </c>
      <c r="F32" s="41">
        <f>'C5C'!F264</f>
        <v>0</v>
      </c>
      <c r="G32" s="41">
        <f>'C5C'!G264</f>
        <v>0</v>
      </c>
      <c r="H32" s="41">
        <f>'C5C'!H264</f>
        <v>0</v>
      </c>
      <c r="I32" s="41">
        <f>'C5C'!I264</f>
        <v>0</v>
      </c>
      <c r="J32" s="165" t="str">
        <f t="shared" si="3"/>
        <v/>
      </c>
      <c r="K32" s="119">
        <f>'C5C'!K264</f>
        <v>0</v>
      </c>
      <c r="L32" s="493"/>
    </row>
    <row r="33" spans="1:12" ht="12.75" customHeight="1" x14ac:dyDescent="0.25">
      <c r="A33" s="36" t="str">
        <f>'Org structure'!A11</f>
        <v>Vote 10 - [NAME OF VOTE 10]</v>
      </c>
      <c r="B33" s="348"/>
      <c r="C33" s="111">
        <f>'C5C'!C275</f>
        <v>0</v>
      </c>
      <c r="D33" s="221">
        <f>'C5C'!D275</f>
        <v>0</v>
      </c>
      <c r="E33" s="41">
        <f>'C5C'!E275</f>
        <v>0</v>
      </c>
      <c r="F33" s="41">
        <f>'C5C'!F275</f>
        <v>0</v>
      </c>
      <c r="G33" s="41">
        <f>'C5C'!G275</f>
        <v>0</v>
      </c>
      <c r="H33" s="41">
        <f>'C5C'!H275</f>
        <v>0</v>
      </c>
      <c r="I33" s="41">
        <f>'C5C'!I275</f>
        <v>0</v>
      </c>
      <c r="J33" s="165" t="str">
        <f t="shared" si="3"/>
        <v/>
      </c>
      <c r="K33" s="119">
        <f>'C5C'!K275</f>
        <v>0</v>
      </c>
      <c r="L33" s="493"/>
    </row>
    <row r="34" spans="1:12" ht="12.75" customHeight="1" x14ac:dyDescent="0.25">
      <c r="A34" s="36" t="str">
        <f>'Org structure'!A12</f>
        <v>Vote 11 - [NAME OF VOTE 11]</v>
      </c>
      <c r="B34" s="348"/>
      <c r="C34" s="111">
        <f>'C5C'!C286</f>
        <v>0</v>
      </c>
      <c r="D34" s="221">
        <f>'C5C'!D286</f>
        <v>0</v>
      </c>
      <c r="E34" s="41">
        <f>'C5C'!E286</f>
        <v>0</v>
      </c>
      <c r="F34" s="41">
        <f>'C5C'!F286</f>
        <v>0</v>
      </c>
      <c r="G34" s="41">
        <f>'C5C'!G286</f>
        <v>0</v>
      </c>
      <c r="H34" s="41">
        <f>'C5C'!H286</f>
        <v>0</v>
      </c>
      <c r="I34" s="41">
        <f>'C5C'!I286</f>
        <v>0</v>
      </c>
      <c r="J34" s="165" t="str">
        <f t="shared" si="3"/>
        <v/>
      </c>
      <c r="K34" s="119">
        <f>'C5C'!K286</f>
        <v>0</v>
      </c>
      <c r="L34" s="493"/>
    </row>
    <row r="35" spans="1:12" ht="12.75" customHeight="1" x14ac:dyDescent="0.25">
      <c r="A35" s="36" t="str">
        <f>'Org structure'!A13</f>
        <v>Vote 12 - [NAME OF VOTE 12]</v>
      </c>
      <c r="B35" s="348"/>
      <c r="C35" s="111">
        <f>'C5C'!C297</f>
        <v>0</v>
      </c>
      <c r="D35" s="221">
        <f>'C5C'!D297</f>
        <v>0</v>
      </c>
      <c r="E35" s="41">
        <f>'C5C'!E297</f>
        <v>0</v>
      </c>
      <c r="F35" s="41">
        <f>'C5C'!F297</f>
        <v>0</v>
      </c>
      <c r="G35" s="41">
        <f>'C5C'!G297</f>
        <v>0</v>
      </c>
      <c r="H35" s="41">
        <f>'C5C'!H297</f>
        <v>0</v>
      </c>
      <c r="I35" s="41">
        <f>'C5C'!I297</f>
        <v>0</v>
      </c>
      <c r="J35" s="165" t="str">
        <f t="shared" si="3"/>
        <v/>
      </c>
      <c r="K35" s="119">
        <f>'C5C'!K297</f>
        <v>0</v>
      </c>
      <c r="L35" s="493"/>
    </row>
    <row r="36" spans="1:12" ht="12.75" customHeight="1" x14ac:dyDescent="0.25">
      <c r="A36" s="36" t="str">
        <f>'Org structure'!A14</f>
        <v>Vote 13 - [NAME OF VOTE 13]</v>
      </c>
      <c r="B36" s="348"/>
      <c r="C36" s="111">
        <f>'C5C'!C308</f>
        <v>0</v>
      </c>
      <c r="D36" s="221">
        <f>'C5C'!D308</f>
        <v>0</v>
      </c>
      <c r="E36" s="41">
        <f>'C5C'!E308</f>
        <v>0</v>
      </c>
      <c r="F36" s="41">
        <f>'C5C'!F308</f>
        <v>0</v>
      </c>
      <c r="G36" s="41">
        <f>'C5C'!G308</f>
        <v>0</v>
      </c>
      <c r="H36" s="41">
        <f>'C5C'!H308</f>
        <v>0</v>
      </c>
      <c r="I36" s="41">
        <f>'C5C'!I308</f>
        <v>0</v>
      </c>
      <c r="J36" s="165" t="str">
        <f t="shared" si="3"/>
        <v/>
      </c>
      <c r="K36" s="119">
        <f>'C5C'!K308</f>
        <v>0</v>
      </c>
      <c r="L36" s="493"/>
    </row>
    <row r="37" spans="1:12" ht="12.75" customHeight="1" x14ac:dyDescent="0.25">
      <c r="A37" s="36" t="str">
        <f>'Org structure'!A15</f>
        <v>Vote 14 - [NAME OF VOTE 14]</v>
      </c>
      <c r="B37" s="348"/>
      <c r="C37" s="111">
        <f>'C5C'!C319</f>
        <v>0</v>
      </c>
      <c r="D37" s="221">
        <f>'C5C'!D319</f>
        <v>0</v>
      </c>
      <c r="E37" s="41">
        <f>'C5C'!E319</f>
        <v>0</v>
      </c>
      <c r="F37" s="41">
        <f>'C5C'!F319</f>
        <v>0</v>
      </c>
      <c r="G37" s="41">
        <f>'C5C'!G319</f>
        <v>0</v>
      </c>
      <c r="H37" s="41">
        <f>'C5C'!H319</f>
        <v>0</v>
      </c>
      <c r="I37" s="41">
        <f>'C5C'!I319</f>
        <v>0</v>
      </c>
      <c r="J37" s="165" t="str">
        <f t="shared" si="3"/>
        <v/>
      </c>
      <c r="K37" s="119">
        <f>'C5C'!K319</f>
        <v>0</v>
      </c>
      <c r="L37" s="493"/>
    </row>
    <row r="38" spans="1:12" ht="12.75" customHeight="1" x14ac:dyDescent="0.25">
      <c r="A38" s="36" t="str">
        <f>'Org structure'!A16</f>
        <v>Vote 15 - [NAME OF VOTE 15]</v>
      </c>
      <c r="B38" s="348"/>
      <c r="C38" s="111">
        <f>'C5C'!C330</f>
        <v>0</v>
      </c>
      <c r="D38" s="221">
        <f>'C5C'!D330</f>
        <v>0</v>
      </c>
      <c r="E38" s="41">
        <f>'C5C'!E330</f>
        <v>0</v>
      </c>
      <c r="F38" s="41">
        <f>'C5C'!F330</f>
        <v>0</v>
      </c>
      <c r="G38" s="41">
        <f>'C5C'!G330</f>
        <v>0</v>
      </c>
      <c r="H38" s="41">
        <f>'C5C'!H330</f>
        <v>0</v>
      </c>
      <c r="I38" s="41">
        <f>'C5C'!I330</f>
        <v>0</v>
      </c>
      <c r="J38" s="165" t="str">
        <f t="shared" si="3"/>
        <v/>
      </c>
      <c r="K38" s="119">
        <f>'C5C'!K330</f>
        <v>0</v>
      </c>
      <c r="L38" s="493"/>
    </row>
    <row r="39" spans="1:12" ht="12.75" customHeight="1" x14ac:dyDescent="0.25">
      <c r="A39" s="297" t="s">
        <v>771</v>
      </c>
      <c r="B39" s="408">
        <v>4</v>
      </c>
      <c r="C39" s="224">
        <f t="shared" ref="C39:I39" si="4">SUM(C24:C38)</f>
        <v>201022307.78999999</v>
      </c>
      <c r="D39" s="225">
        <f t="shared" si="4"/>
        <v>54497184</v>
      </c>
      <c r="E39" s="134">
        <f t="shared" si="4"/>
        <v>73677729.219999999</v>
      </c>
      <c r="F39" s="134">
        <f t="shared" si="4"/>
        <v>636405.88000000012</v>
      </c>
      <c r="G39" s="134">
        <f t="shared" si="4"/>
        <v>25112118.020000003</v>
      </c>
      <c r="H39" s="134">
        <f t="shared" si="4"/>
        <v>73677729.219999999</v>
      </c>
      <c r="I39" s="65">
        <f t="shared" si="4"/>
        <v>-48565611.199999996</v>
      </c>
      <c r="J39" s="280">
        <f t="shared" si="3"/>
        <v>-0.65916270376607566</v>
      </c>
      <c r="K39" s="226">
        <f>SUM(K24:K38)</f>
        <v>73677729.219999999</v>
      </c>
    </row>
    <row r="40" spans="1:12" ht="12.75" customHeight="1" x14ac:dyDescent="0.25">
      <c r="A40" s="81" t="s">
        <v>772</v>
      </c>
      <c r="B40" s="350"/>
      <c r="C40" s="206">
        <f t="shared" ref="C40:I40" si="5">C39+C21</f>
        <v>201022307.78999999</v>
      </c>
      <c r="D40" s="223">
        <f t="shared" si="5"/>
        <v>226517177</v>
      </c>
      <c r="E40" s="65">
        <f t="shared" si="5"/>
        <v>272453658.22000003</v>
      </c>
      <c r="F40" s="65">
        <f t="shared" si="5"/>
        <v>28743525.049999997</v>
      </c>
      <c r="G40" s="65">
        <f t="shared" si="5"/>
        <v>232896014.37000003</v>
      </c>
      <c r="H40" s="65">
        <f t="shared" si="5"/>
        <v>272453658.22000003</v>
      </c>
      <c r="I40" s="65">
        <f t="shared" si="5"/>
        <v>-39557643.849999987</v>
      </c>
      <c r="J40" s="280">
        <f>IF(I40=0,"",I40/H40)</f>
        <v>-0.14519035680577319</v>
      </c>
      <c r="K40" s="120">
        <f>K39+K21</f>
        <v>272453658.22000003</v>
      </c>
    </row>
    <row r="41" spans="1:12" ht="5.0999999999999996" customHeight="1" x14ac:dyDescent="0.25">
      <c r="A41" s="39"/>
      <c r="B41" s="348"/>
      <c r="C41" s="111"/>
      <c r="D41" s="221"/>
      <c r="E41" s="41"/>
      <c r="F41" s="41"/>
      <c r="G41" s="41"/>
      <c r="H41" s="41"/>
      <c r="I41" s="41"/>
      <c r="J41" s="165"/>
      <c r="K41" s="119"/>
    </row>
    <row r="42" spans="1:12" ht="12.75" customHeight="1" x14ac:dyDescent="0.25">
      <c r="A42" s="32" t="s">
        <v>1248</v>
      </c>
      <c r="B42" s="348"/>
      <c r="C42" s="111"/>
      <c r="D42" s="221"/>
      <c r="E42" s="41"/>
      <c r="F42" s="41"/>
      <c r="G42" s="41"/>
      <c r="H42" s="41"/>
      <c r="I42" s="41"/>
      <c r="J42" s="165"/>
      <c r="K42" s="119"/>
    </row>
    <row r="43" spans="1:12" ht="12.75" customHeight="1" x14ac:dyDescent="0.25">
      <c r="A43" s="345" t="s">
        <v>141</v>
      </c>
      <c r="B43" s="348"/>
      <c r="C43" s="159">
        <f t="shared" ref="C43:H43" si="6">SUM(C44:C46)</f>
        <v>21772348.240000002</v>
      </c>
      <c r="D43" s="222">
        <f t="shared" si="6"/>
        <v>14932800</v>
      </c>
      <c r="E43" s="46">
        <f t="shared" si="6"/>
        <v>38236439</v>
      </c>
      <c r="F43" s="46">
        <f t="shared" si="6"/>
        <v>1669218.62</v>
      </c>
      <c r="G43" s="46">
        <f t="shared" si="6"/>
        <v>28081531.990000002</v>
      </c>
      <c r="H43" s="46">
        <f t="shared" si="6"/>
        <v>38236439</v>
      </c>
      <c r="I43" s="41">
        <f t="shared" ref="I43:I62" si="7">G43-H43</f>
        <v>-10154907.009999998</v>
      </c>
      <c r="J43" s="165">
        <f>IF(I43=0,"",I43/H43)</f>
        <v>-0.26558192330619484</v>
      </c>
      <c r="K43" s="159">
        <f>SUM(K44:K46)</f>
        <v>38236439</v>
      </c>
    </row>
    <row r="44" spans="1:12" ht="12.75" customHeight="1" x14ac:dyDescent="0.25">
      <c r="A44" s="89" t="s">
        <v>111</v>
      </c>
      <c r="B44" s="348"/>
      <c r="C44" s="517">
        <v>355949.28999999992</v>
      </c>
      <c r="D44" s="531">
        <v>10000</v>
      </c>
      <c r="E44" s="329">
        <v>12000</v>
      </c>
      <c r="F44" s="329">
        <v>0</v>
      </c>
      <c r="G44" s="329">
        <v>15030.04000000027</v>
      </c>
      <c r="H44" s="329">
        <f>E44/12*$L$1</f>
        <v>12000</v>
      </c>
      <c r="I44" s="41">
        <f t="shared" si="7"/>
        <v>3030.0400000002701</v>
      </c>
      <c r="J44" s="165">
        <f t="shared" ref="J44:J63" si="8">IF(I44=0,"",I44/H44)</f>
        <v>0.25250333333335584</v>
      </c>
      <c r="K44" s="517">
        <f>E44</f>
        <v>12000</v>
      </c>
    </row>
    <row r="45" spans="1:12" ht="12.75" customHeight="1" x14ac:dyDescent="0.25">
      <c r="A45" s="89" t="s">
        <v>1156</v>
      </c>
      <c r="B45" s="348"/>
      <c r="C45" s="532">
        <v>21416398.950000003</v>
      </c>
      <c r="D45" s="533">
        <v>14922800</v>
      </c>
      <c r="E45" s="534">
        <v>38224439</v>
      </c>
      <c r="F45" s="534">
        <v>1669218.62</v>
      </c>
      <c r="G45" s="534">
        <v>28066501.950000003</v>
      </c>
      <c r="H45" s="534">
        <f t="shared" ref="H45:H46" si="9">E45/12*$L$1</f>
        <v>38224439</v>
      </c>
      <c r="I45" s="41">
        <f t="shared" si="7"/>
        <v>-10157937.049999997</v>
      </c>
      <c r="J45" s="165">
        <f t="shared" si="8"/>
        <v>-0.26574456854683981</v>
      </c>
      <c r="K45" s="532">
        <f>E45</f>
        <v>38224439</v>
      </c>
      <c r="L45" s="40"/>
    </row>
    <row r="46" spans="1:12" ht="12.75" customHeight="1" x14ac:dyDescent="0.25">
      <c r="A46" s="89" t="s">
        <v>1168</v>
      </c>
      <c r="B46" s="348"/>
      <c r="C46" s="517">
        <v>0</v>
      </c>
      <c r="D46" s="531">
        <v>0</v>
      </c>
      <c r="E46" s="329">
        <v>0</v>
      </c>
      <c r="F46" s="329">
        <v>0</v>
      </c>
      <c r="G46" s="329">
        <v>0</v>
      </c>
      <c r="H46" s="329">
        <f t="shared" si="9"/>
        <v>0</v>
      </c>
      <c r="I46" s="41">
        <f t="shared" si="7"/>
        <v>0</v>
      </c>
      <c r="J46" s="165" t="str">
        <f t="shared" si="8"/>
        <v/>
      </c>
      <c r="K46" s="517">
        <f>E46</f>
        <v>0</v>
      </c>
    </row>
    <row r="47" spans="1:12" ht="12.75" customHeight="1" x14ac:dyDescent="0.25">
      <c r="A47" s="345" t="s">
        <v>112</v>
      </c>
      <c r="B47" s="348"/>
      <c r="C47" s="159">
        <f t="shared" ref="C47:H47" si="10">SUM(C48:C52)</f>
        <v>5170969.58</v>
      </c>
      <c r="D47" s="222">
        <f t="shared" si="10"/>
        <v>19799405</v>
      </c>
      <c r="E47" s="46">
        <f t="shared" si="10"/>
        <v>12922632.220000001</v>
      </c>
      <c r="F47" s="46">
        <f t="shared" si="10"/>
        <v>4102535.45</v>
      </c>
      <c r="G47" s="46">
        <f t="shared" si="10"/>
        <v>13599460.130000003</v>
      </c>
      <c r="H47" s="46">
        <f t="shared" si="10"/>
        <v>12922632.220000001</v>
      </c>
      <c r="I47" s="41">
        <f t="shared" si="7"/>
        <v>676827.91000000201</v>
      </c>
      <c r="J47" s="165">
        <f t="shared" si="8"/>
        <v>5.2375390592057099E-2</v>
      </c>
      <c r="K47" s="159">
        <f>SUM(K48:K52)</f>
        <v>12922632.220000001</v>
      </c>
    </row>
    <row r="48" spans="1:12" ht="12.75" customHeight="1" x14ac:dyDescent="0.25">
      <c r="A48" s="89" t="s">
        <v>113</v>
      </c>
      <c r="B48" s="348"/>
      <c r="C48" s="517">
        <v>1006392.51</v>
      </c>
      <c r="D48" s="531">
        <v>11856405</v>
      </c>
      <c r="E48" s="329">
        <v>9179151.2200000007</v>
      </c>
      <c r="F48" s="329">
        <v>2059667.15</v>
      </c>
      <c r="G48" s="329">
        <v>7951843.3000000007</v>
      </c>
      <c r="H48" s="329">
        <f t="shared" ref="H48:H52" si="11">E48/12*$L$1</f>
        <v>9179151.2200000007</v>
      </c>
      <c r="I48" s="41">
        <f t="shared" si="7"/>
        <v>-1227307.92</v>
      </c>
      <c r="J48" s="165">
        <f t="shared" si="8"/>
        <v>-0.13370603562188615</v>
      </c>
      <c r="K48" s="517">
        <f>E48</f>
        <v>9179151.2200000007</v>
      </c>
    </row>
    <row r="49" spans="1:12" ht="12.75" customHeight="1" x14ac:dyDescent="0.25">
      <c r="A49" s="89" t="s">
        <v>114</v>
      </c>
      <c r="B49" s="348"/>
      <c r="C49" s="517">
        <v>1011155.9600000001</v>
      </c>
      <c r="D49" s="531">
        <v>4740000</v>
      </c>
      <c r="E49" s="329">
        <v>2680839</v>
      </c>
      <c r="F49" s="329">
        <v>439495</v>
      </c>
      <c r="G49" s="329">
        <v>1938799.9600000002</v>
      </c>
      <c r="H49" s="329">
        <f t="shared" si="11"/>
        <v>2680839</v>
      </c>
      <c r="I49" s="41">
        <f t="shared" si="7"/>
        <v>-742039.0399999998</v>
      </c>
      <c r="J49" s="165">
        <f t="shared" si="8"/>
        <v>-0.27679358588859676</v>
      </c>
      <c r="K49" s="517">
        <f>E49</f>
        <v>2680839</v>
      </c>
      <c r="L49" s="40"/>
    </row>
    <row r="50" spans="1:12" ht="12.75" customHeight="1" x14ac:dyDescent="0.25">
      <c r="A50" s="89" t="s">
        <v>115</v>
      </c>
      <c r="B50" s="348"/>
      <c r="C50" s="517">
        <v>3153421.1100000003</v>
      </c>
      <c r="D50" s="531">
        <v>3203000</v>
      </c>
      <c r="E50" s="329">
        <v>1062642</v>
      </c>
      <c r="F50" s="329">
        <v>1603373.3</v>
      </c>
      <c r="G50" s="329">
        <v>3708816.87</v>
      </c>
      <c r="H50" s="329">
        <f t="shared" si="11"/>
        <v>1062642</v>
      </c>
      <c r="I50" s="41">
        <f t="shared" si="7"/>
        <v>2646174.87</v>
      </c>
      <c r="J50" s="165">
        <f t="shared" si="8"/>
        <v>2.4901847188422819</v>
      </c>
      <c r="K50" s="517">
        <f>E50</f>
        <v>1062642</v>
      </c>
      <c r="L50" s="40"/>
    </row>
    <row r="51" spans="1:12" ht="12.75" customHeight="1" x14ac:dyDescent="0.25">
      <c r="A51" s="89" t="s">
        <v>724</v>
      </c>
      <c r="B51" s="348"/>
      <c r="C51" s="517">
        <v>0</v>
      </c>
      <c r="D51" s="531">
        <v>0</v>
      </c>
      <c r="E51" s="329">
        <v>0</v>
      </c>
      <c r="F51" s="329">
        <v>0</v>
      </c>
      <c r="G51" s="329">
        <v>0</v>
      </c>
      <c r="H51" s="329">
        <f t="shared" si="11"/>
        <v>0</v>
      </c>
      <c r="I51" s="41">
        <f t="shared" si="7"/>
        <v>0</v>
      </c>
      <c r="J51" s="165" t="str">
        <f t="shared" si="8"/>
        <v/>
      </c>
      <c r="K51" s="517">
        <f>E51</f>
        <v>0</v>
      </c>
      <c r="L51" s="40"/>
    </row>
    <row r="52" spans="1:12" ht="12.75" customHeight="1" x14ac:dyDescent="0.25">
      <c r="A52" s="89" t="s">
        <v>621</v>
      </c>
      <c r="B52" s="348"/>
      <c r="C52" s="532">
        <v>0</v>
      </c>
      <c r="D52" s="533">
        <v>0</v>
      </c>
      <c r="E52" s="534">
        <v>0</v>
      </c>
      <c r="F52" s="534">
        <v>0</v>
      </c>
      <c r="G52" s="534">
        <v>0</v>
      </c>
      <c r="H52" s="534">
        <f t="shared" si="11"/>
        <v>0</v>
      </c>
      <c r="I52" s="41">
        <f t="shared" si="7"/>
        <v>0</v>
      </c>
      <c r="J52" s="165" t="str">
        <f t="shared" si="8"/>
        <v/>
      </c>
      <c r="K52" s="532">
        <f>E52</f>
        <v>0</v>
      </c>
    </row>
    <row r="53" spans="1:12" ht="12.75" customHeight="1" x14ac:dyDescent="0.25">
      <c r="A53" s="345" t="s">
        <v>116</v>
      </c>
      <c r="B53" s="348"/>
      <c r="C53" s="159">
        <f t="shared" ref="C53:H53" si="12">SUM(C54:C56)</f>
        <v>41317054.350000001</v>
      </c>
      <c r="D53" s="222">
        <f t="shared" si="12"/>
        <v>30352000</v>
      </c>
      <c r="E53" s="46">
        <f t="shared" si="12"/>
        <v>30434675</v>
      </c>
      <c r="F53" s="46">
        <f t="shared" si="12"/>
        <v>9184261.5500000007</v>
      </c>
      <c r="G53" s="46">
        <f t="shared" si="12"/>
        <v>30077962.949999999</v>
      </c>
      <c r="H53" s="46">
        <f t="shared" si="12"/>
        <v>30434675</v>
      </c>
      <c r="I53" s="41">
        <f t="shared" si="7"/>
        <v>-356712.05000000075</v>
      </c>
      <c r="J53" s="165">
        <f t="shared" si="8"/>
        <v>-1.1720580226337254E-2</v>
      </c>
      <c r="K53" s="159">
        <f>SUM(K54:K56)</f>
        <v>30434675</v>
      </c>
    </row>
    <row r="54" spans="1:12" ht="12.75" customHeight="1" x14ac:dyDescent="0.25">
      <c r="A54" s="89" t="s">
        <v>117</v>
      </c>
      <c r="B54" s="348"/>
      <c r="C54" s="517">
        <v>0</v>
      </c>
      <c r="D54" s="531">
        <v>3632000</v>
      </c>
      <c r="E54" s="329">
        <v>4698417</v>
      </c>
      <c r="F54" s="329">
        <v>0</v>
      </c>
      <c r="G54" s="329">
        <v>0</v>
      </c>
      <c r="H54" s="329">
        <f t="shared" ref="H54:H56" si="13">E54/12*$L$1</f>
        <v>4698417</v>
      </c>
      <c r="I54" s="41">
        <f t="shared" si="7"/>
        <v>-4698417</v>
      </c>
      <c r="J54" s="165">
        <f t="shared" si="8"/>
        <v>-1</v>
      </c>
      <c r="K54" s="517">
        <f>E54</f>
        <v>4698417</v>
      </c>
    </row>
    <row r="55" spans="1:12" ht="12.75" customHeight="1" x14ac:dyDescent="0.25">
      <c r="A55" s="89" t="s">
        <v>118</v>
      </c>
      <c r="B55" s="348"/>
      <c r="C55" s="517">
        <v>41317054.350000001</v>
      </c>
      <c r="D55" s="531">
        <v>26720000</v>
      </c>
      <c r="E55" s="329">
        <v>25736258</v>
      </c>
      <c r="F55" s="329">
        <v>9184261.5500000007</v>
      </c>
      <c r="G55" s="329">
        <v>30077962.949999999</v>
      </c>
      <c r="H55" s="329">
        <f t="shared" si="13"/>
        <v>25736258</v>
      </c>
      <c r="I55" s="41">
        <f t="shared" si="7"/>
        <v>4341704.9499999993</v>
      </c>
      <c r="J55" s="165">
        <f t="shared" si="8"/>
        <v>0.16869993104669681</v>
      </c>
      <c r="K55" s="517">
        <f>E55</f>
        <v>25736258</v>
      </c>
    </row>
    <row r="56" spans="1:12" ht="12.75" customHeight="1" x14ac:dyDescent="0.25">
      <c r="A56" s="89" t="s">
        <v>119</v>
      </c>
      <c r="B56" s="348"/>
      <c r="C56" s="517">
        <v>0</v>
      </c>
      <c r="D56" s="531">
        <v>0</v>
      </c>
      <c r="E56" s="329">
        <v>0</v>
      </c>
      <c r="F56" s="329">
        <v>0</v>
      </c>
      <c r="G56" s="329">
        <v>0</v>
      </c>
      <c r="H56" s="329">
        <f t="shared" si="13"/>
        <v>0</v>
      </c>
      <c r="I56" s="41">
        <f t="shared" si="7"/>
        <v>0</v>
      </c>
      <c r="J56" s="165" t="str">
        <f t="shared" si="8"/>
        <v/>
      </c>
      <c r="K56" s="517">
        <f>E56</f>
        <v>0</v>
      </c>
    </row>
    <row r="57" spans="1:12" ht="12.75" customHeight="1" x14ac:dyDescent="0.25">
      <c r="A57" s="345" t="s">
        <v>120</v>
      </c>
      <c r="B57" s="348"/>
      <c r="C57" s="159">
        <f t="shared" ref="C57:H57" si="14">SUM(C58:C61)</f>
        <v>132761935.62</v>
      </c>
      <c r="D57" s="222">
        <f t="shared" si="14"/>
        <v>161432972</v>
      </c>
      <c r="E57" s="46">
        <f t="shared" si="14"/>
        <v>190859912</v>
      </c>
      <c r="F57" s="46">
        <f t="shared" si="14"/>
        <v>13787509.430000002</v>
      </c>
      <c r="G57" s="46">
        <f t="shared" si="14"/>
        <v>161137059.30000004</v>
      </c>
      <c r="H57" s="46">
        <f t="shared" si="14"/>
        <v>177001917.54833329</v>
      </c>
      <c r="I57" s="41">
        <f t="shared" si="7"/>
        <v>-15864858.248333246</v>
      </c>
      <c r="J57" s="165">
        <f t="shared" si="8"/>
        <v>-8.9630996477770272E-2</v>
      </c>
      <c r="K57" s="159">
        <f>SUM(K58:K61)</f>
        <v>190859912</v>
      </c>
    </row>
    <row r="58" spans="1:12" ht="12.75" customHeight="1" x14ac:dyDescent="0.25">
      <c r="A58" s="89" t="s">
        <v>1225</v>
      </c>
      <c r="B58" s="348"/>
      <c r="C58" s="517">
        <v>12136781.010000002</v>
      </c>
      <c r="D58" s="531">
        <v>39780700</v>
      </c>
      <c r="E58" s="329">
        <v>48856928</v>
      </c>
      <c r="F58" s="329">
        <v>5201318.1800000006</v>
      </c>
      <c r="G58" s="329">
        <v>27087621.890000004</v>
      </c>
      <c r="H58" s="329">
        <f t="shared" ref="H58:H62" si="15">E58/12*$L$1</f>
        <v>48856928</v>
      </c>
      <c r="I58" s="41">
        <f t="shared" si="7"/>
        <v>-21769306.109999996</v>
      </c>
      <c r="J58" s="165">
        <f t="shared" si="8"/>
        <v>-0.44557255237169219</v>
      </c>
      <c r="K58" s="517">
        <f>E58</f>
        <v>48856928</v>
      </c>
    </row>
    <row r="59" spans="1:12" ht="12.75" customHeight="1" x14ac:dyDescent="0.25">
      <c r="A59" s="89" t="s">
        <v>1229</v>
      </c>
      <c r="B59" s="348"/>
      <c r="C59" s="517">
        <v>52928002.729999997</v>
      </c>
      <c r="D59" s="531">
        <v>55770688</v>
      </c>
      <c r="E59" s="329">
        <v>54360989</v>
      </c>
      <c r="F59" s="329">
        <v>2191585.63</v>
      </c>
      <c r="G59" s="329">
        <v>49311390.660000004</v>
      </c>
      <c r="H59" s="329">
        <f t="shared" si="15"/>
        <v>54360989</v>
      </c>
      <c r="I59" s="41">
        <f t="shared" si="7"/>
        <v>-5049598.3399999961</v>
      </c>
      <c r="J59" s="165">
        <f t="shared" si="8"/>
        <v>-9.2890111693883934E-2</v>
      </c>
      <c r="K59" s="517">
        <f>E59</f>
        <v>54360989</v>
      </c>
    </row>
    <row r="60" spans="1:12" ht="12.75" customHeight="1" x14ac:dyDescent="0.25">
      <c r="A60" s="89" t="s">
        <v>121</v>
      </c>
      <c r="B60" s="348"/>
      <c r="C60" s="532">
        <v>59377704.080000013</v>
      </c>
      <c r="D60" s="533">
        <v>59931584</v>
      </c>
      <c r="E60" s="534">
        <v>73417401</v>
      </c>
      <c r="F60" s="534">
        <v>324584.3900000006</v>
      </c>
      <c r="G60" s="534">
        <v>69922278.540000021</v>
      </c>
      <c r="H60" s="329">
        <v>59559406.548333287</v>
      </c>
      <c r="I60" s="41">
        <f t="shared" si="7"/>
        <v>10362871.991666734</v>
      </c>
      <c r="J60" s="165">
        <f t="shared" si="8"/>
        <v>0.17399219690439863</v>
      </c>
      <c r="K60" s="532">
        <f>E60</f>
        <v>73417401</v>
      </c>
    </row>
    <row r="61" spans="1:12" ht="12.75" customHeight="1" x14ac:dyDescent="0.25">
      <c r="A61" s="89" t="s">
        <v>122</v>
      </c>
      <c r="B61" s="348"/>
      <c r="C61" s="517">
        <v>8319447.8000000007</v>
      </c>
      <c r="D61" s="531">
        <v>5950000</v>
      </c>
      <c r="E61" s="329">
        <v>14224594</v>
      </c>
      <c r="F61" s="329">
        <v>6070021.2300000004</v>
      </c>
      <c r="G61" s="329">
        <v>14815768.210000001</v>
      </c>
      <c r="H61" s="329">
        <f t="shared" si="15"/>
        <v>14224594</v>
      </c>
      <c r="I61" s="41">
        <f t="shared" si="7"/>
        <v>591174.21000000089</v>
      </c>
      <c r="J61" s="165">
        <f t="shared" si="8"/>
        <v>4.1560005860272774E-2</v>
      </c>
      <c r="K61" s="517">
        <f>E61</f>
        <v>14224594</v>
      </c>
    </row>
    <row r="62" spans="1:12" ht="12.75" customHeight="1" x14ac:dyDescent="0.25">
      <c r="A62" s="345" t="s">
        <v>731</v>
      </c>
      <c r="B62" s="348"/>
      <c r="C62" s="517">
        <v>0</v>
      </c>
      <c r="D62" s="531">
        <v>0</v>
      </c>
      <c r="E62" s="329">
        <v>0</v>
      </c>
      <c r="F62" s="329">
        <v>0</v>
      </c>
      <c r="G62" s="329">
        <v>0</v>
      </c>
      <c r="H62" s="329">
        <f t="shared" si="15"/>
        <v>0</v>
      </c>
      <c r="I62" s="41">
        <f t="shared" si="7"/>
        <v>0</v>
      </c>
      <c r="J62" s="165" t="str">
        <f t="shared" si="8"/>
        <v/>
      </c>
      <c r="K62" s="517">
        <f>E62</f>
        <v>0</v>
      </c>
    </row>
    <row r="63" spans="1:12" ht="12.75" customHeight="1" x14ac:dyDescent="0.25">
      <c r="A63" s="421" t="s">
        <v>1247</v>
      </c>
      <c r="B63" s="423">
        <v>3</v>
      </c>
      <c r="C63" s="94">
        <f>C43+C47+C53+C57+C62</f>
        <v>201022307.79000002</v>
      </c>
      <c r="D63" s="230">
        <f t="shared" ref="D63:I63" si="16">D43+D47+D53+D57+D62</f>
        <v>226517177</v>
      </c>
      <c r="E63" s="51">
        <f t="shared" si="16"/>
        <v>272453658.22000003</v>
      </c>
      <c r="F63" s="51">
        <f t="shared" si="16"/>
        <v>28743525.050000004</v>
      </c>
      <c r="G63" s="51">
        <f t="shared" si="16"/>
        <v>232896014.37000006</v>
      </c>
      <c r="H63" s="51">
        <f t="shared" si="16"/>
        <v>258595663.76833329</v>
      </c>
      <c r="I63" s="51">
        <f t="shared" si="16"/>
        <v>-25699649.398333244</v>
      </c>
      <c r="J63" s="281">
        <f t="shared" si="8"/>
        <v>-9.9381594508702403E-2</v>
      </c>
      <c r="K63" s="198">
        <f>K43+K47+K53+K57+K62</f>
        <v>272453658.22000003</v>
      </c>
    </row>
    <row r="64" spans="1:12" ht="5.0999999999999996" customHeight="1" x14ac:dyDescent="0.25">
      <c r="A64" s="38"/>
      <c r="B64" s="142"/>
      <c r="C64" s="111"/>
      <c r="D64" s="221"/>
      <c r="E64" s="41"/>
      <c r="F64" s="41"/>
      <c r="G64" s="41"/>
      <c r="H64" s="41"/>
      <c r="I64" s="41"/>
      <c r="J64" s="165"/>
      <c r="K64" s="119"/>
    </row>
    <row r="65" spans="1:12" ht="12.75" customHeight="1" x14ac:dyDescent="0.25">
      <c r="A65" s="32" t="s">
        <v>475</v>
      </c>
      <c r="B65" s="142"/>
      <c r="C65" s="111"/>
      <c r="D65" s="221"/>
      <c r="E65" s="41"/>
      <c r="F65" s="41"/>
      <c r="G65" s="41"/>
      <c r="H65" s="41"/>
      <c r="I65" s="41"/>
      <c r="J65" s="165"/>
      <c r="K65" s="119"/>
    </row>
    <row r="66" spans="1:12" ht="12.75" customHeight="1" x14ac:dyDescent="0.25">
      <c r="A66" s="89" t="s">
        <v>451</v>
      </c>
      <c r="B66" s="142"/>
      <c r="C66" s="526">
        <v>41783279.789999999</v>
      </c>
      <c r="D66" s="531">
        <v>38810000</v>
      </c>
      <c r="E66" s="329">
        <v>38810000</v>
      </c>
      <c r="F66" s="329">
        <v>11123983.040000001</v>
      </c>
      <c r="G66" s="329">
        <v>37488161.370000005</v>
      </c>
      <c r="H66" s="329">
        <f t="shared" ref="H66:H69" si="17">E66/12*$L$1</f>
        <v>38810000</v>
      </c>
      <c r="I66" s="41">
        <f t="shared" ref="I66:I74" si="18">G66-H66</f>
        <v>-1321838.6299999952</v>
      </c>
      <c r="J66" s="165">
        <f t="shared" ref="J66:J74" si="19">IF(I66=0,"",I66/H66)</f>
        <v>-3.4059227776346179E-2</v>
      </c>
      <c r="K66" s="517">
        <f>E66</f>
        <v>38810000</v>
      </c>
    </row>
    <row r="67" spans="1:12" ht="12.75" customHeight="1" x14ac:dyDescent="0.25">
      <c r="A67" s="89" t="s">
        <v>615</v>
      </c>
      <c r="B67" s="142"/>
      <c r="C67" s="526">
        <v>88028413.049999997</v>
      </c>
      <c r="D67" s="531">
        <v>102280000</v>
      </c>
      <c r="E67" s="329">
        <v>117186715</v>
      </c>
      <c r="F67" s="329">
        <v>-1243232.1899999997</v>
      </c>
      <c r="G67" s="329">
        <v>100372727.31999999</v>
      </c>
      <c r="H67" s="329">
        <f t="shared" si="17"/>
        <v>117186715</v>
      </c>
      <c r="I67" s="41">
        <f t="shared" si="18"/>
        <v>-16813987.680000007</v>
      </c>
      <c r="J67" s="165">
        <f t="shared" si="19"/>
        <v>-0.14348032266285479</v>
      </c>
      <c r="K67" s="517">
        <f>E67</f>
        <v>117186715</v>
      </c>
    </row>
    <row r="68" spans="1:12" ht="12.75" customHeight="1" x14ac:dyDescent="0.25">
      <c r="A68" s="89" t="s">
        <v>616</v>
      </c>
      <c r="B68" s="142"/>
      <c r="C68" s="526">
        <v>0</v>
      </c>
      <c r="D68" s="531">
        <v>0</v>
      </c>
      <c r="E68" s="329">
        <v>500000</v>
      </c>
      <c r="F68" s="329">
        <v>0</v>
      </c>
      <c r="G68" s="329">
        <v>0</v>
      </c>
      <c r="H68" s="329">
        <f t="shared" si="17"/>
        <v>500000</v>
      </c>
      <c r="I68" s="41">
        <f t="shared" si="18"/>
        <v>-500000</v>
      </c>
      <c r="J68" s="165">
        <f t="shared" si="19"/>
        <v>-1</v>
      </c>
      <c r="K68" s="517">
        <f>E68</f>
        <v>500000</v>
      </c>
    </row>
    <row r="69" spans="1:12" ht="12.75" customHeight="1" x14ac:dyDescent="0.25">
      <c r="A69" s="89" t="s">
        <v>71</v>
      </c>
      <c r="B69" s="211"/>
      <c r="C69" s="527">
        <v>-1.4901161193847656E-8</v>
      </c>
      <c r="D69" s="535">
        <v>0</v>
      </c>
      <c r="E69" s="529">
        <v>0</v>
      </c>
      <c r="F69" s="529">
        <v>2.3283064365386963E-10</v>
      </c>
      <c r="G69" s="529">
        <v>0</v>
      </c>
      <c r="H69" s="529">
        <f t="shared" si="17"/>
        <v>0</v>
      </c>
      <c r="I69" s="85">
        <f t="shared" si="18"/>
        <v>0</v>
      </c>
      <c r="J69" s="284" t="str">
        <f t="shared" si="19"/>
        <v/>
      </c>
      <c r="K69" s="530">
        <f>E69</f>
        <v>0</v>
      </c>
    </row>
    <row r="70" spans="1:12" ht="12.75" customHeight="1" x14ac:dyDescent="0.25">
      <c r="A70" s="88" t="s">
        <v>974</v>
      </c>
      <c r="B70" s="142"/>
      <c r="C70" s="91">
        <f t="shared" ref="C70:H70" si="20">SUM(C66:C69)</f>
        <v>129811692.83999999</v>
      </c>
      <c r="D70" s="222">
        <f t="shared" si="20"/>
        <v>141090000</v>
      </c>
      <c r="E70" s="46">
        <f t="shared" si="20"/>
        <v>156496715</v>
      </c>
      <c r="F70" s="46">
        <f t="shared" si="20"/>
        <v>9880750.8500000015</v>
      </c>
      <c r="G70" s="46">
        <f t="shared" si="20"/>
        <v>137860888.69</v>
      </c>
      <c r="H70" s="46">
        <f t="shared" si="20"/>
        <v>156496715</v>
      </c>
      <c r="I70" s="46">
        <f t="shared" si="18"/>
        <v>-18635826.310000002</v>
      </c>
      <c r="J70" s="121">
        <f t="shared" si="19"/>
        <v>-0.11908126192936383</v>
      </c>
      <c r="K70" s="159">
        <f>SUM(K66:K69)</f>
        <v>156496715</v>
      </c>
      <c r="L70" s="494"/>
    </row>
    <row r="71" spans="1:12" ht="12.75" customHeight="1" x14ac:dyDescent="0.25">
      <c r="A71" s="88" t="s">
        <v>482</v>
      </c>
      <c r="B71" s="142">
        <v>5</v>
      </c>
      <c r="C71" s="526">
        <v>1842751.96</v>
      </c>
      <c r="D71" s="531">
        <v>0</v>
      </c>
      <c r="E71" s="329">
        <v>0</v>
      </c>
      <c r="F71" s="329">
        <v>0</v>
      </c>
      <c r="G71" s="329">
        <v>0</v>
      </c>
      <c r="H71" s="329">
        <f t="shared" ref="H71:H73" si="21">E71/12*$L$1</f>
        <v>0</v>
      </c>
      <c r="I71" s="41">
        <f t="shared" si="18"/>
        <v>0</v>
      </c>
      <c r="J71" s="165" t="str">
        <f t="shared" si="19"/>
        <v/>
      </c>
      <c r="K71" s="517">
        <f>E71</f>
        <v>0</v>
      </c>
    </row>
    <row r="72" spans="1:12" ht="12.75" customHeight="1" x14ac:dyDescent="0.25">
      <c r="A72" s="88" t="s">
        <v>789</v>
      </c>
      <c r="B72" s="142">
        <v>6</v>
      </c>
      <c r="C72" s="526">
        <v>21325376.760000002</v>
      </c>
      <c r="D72" s="531">
        <v>0</v>
      </c>
      <c r="E72" s="329">
        <v>6443093</v>
      </c>
      <c r="F72" s="329">
        <v>1400118.52</v>
      </c>
      <c r="G72" s="329">
        <v>6623092.3700000001</v>
      </c>
      <c r="H72" s="329">
        <f t="shared" si="21"/>
        <v>6443093</v>
      </c>
      <c r="I72" s="41">
        <f t="shared" si="18"/>
        <v>179999.37000000011</v>
      </c>
      <c r="J72" s="165">
        <f t="shared" si="19"/>
        <v>2.7936795262772107E-2</v>
      </c>
      <c r="K72" s="517">
        <f>E72</f>
        <v>6443093</v>
      </c>
    </row>
    <row r="73" spans="1:12" ht="12.75" customHeight="1" x14ac:dyDescent="0.25">
      <c r="A73" s="88" t="s">
        <v>476</v>
      </c>
      <c r="B73" s="211"/>
      <c r="C73" s="527">
        <v>48042486.229999997</v>
      </c>
      <c r="D73" s="535">
        <v>85427177</v>
      </c>
      <c r="E73" s="529">
        <v>109513850.22</v>
      </c>
      <c r="F73" s="529">
        <v>17462655.679999992</v>
      </c>
      <c r="G73" s="529">
        <v>88412033.309999943</v>
      </c>
      <c r="H73" s="329">
        <f t="shared" si="21"/>
        <v>109513850.22</v>
      </c>
      <c r="I73" s="85">
        <f t="shared" si="18"/>
        <v>-21101816.910000056</v>
      </c>
      <c r="J73" s="284">
        <f t="shared" si="19"/>
        <v>-0.19268628458965759</v>
      </c>
      <c r="K73" s="530">
        <f>E73</f>
        <v>109513850.22</v>
      </c>
    </row>
    <row r="74" spans="1:12" ht="12.75" customHeight="1" x14ac:dyDescent="0.25">
      <c r="A74" s="422" t="s">
        <v>906</v>
      </c>
      <c r="B74" s="97"/>
      <c r="C74" s="207">
        <f t="shared" ref="C74:K74" si="22">SUM(C70:C73)</f>
        <v>201022307.78999996</v>
      </c>
      <c r="D74" s="227">
        <f t="shared" si="22"/>
        <v>226517177</v>
      </c>
      <c r="E74" s="68">
        <f t="shared" si="22"/>
        <v>272453658.22000003</v>
      </c>
      <c r="F74" s="68">
        <f>SUM(F70:F73)</f>
        <v>28743525.049999993</v>
      </c>
      <c r="G74" s="68">
        <f>SUM(G70:G73)</f>
        <v>232896014.36999995</v>
      </c>
      <c r="H74" s="51">
        <f>SUM(H70:H73)</f>
        <v>272453658.22000003</v>
      </c>
      <c r="I74" s="68">
        <f t="shared" si="18"/>
        <v>-39557643.850000083</v>
      </c>
      <c r="J74" s="282">
        <f t="shared" si="19"/>
        <v>-0.14519035680577355</v>
      </c>
      <c r="K74" s="197">
        <f t="shared" si="22"/>
        <v>272453658.22000003</v>
      </c>
    </row>
    <row r="75" spans="1:12" ht="11.25" hidden="1" customHeight="1" x14ac:dyDescent="0.25">
      <c r="A75" s="680" t="str">
        <f>head27a</f>
        <v>References</v>
      </c>
      <c r="B75" s="58"/>
      <c r="C75" s="71"/>
      <c r="D75" s="71"/>
      <c r="E75" s="71"/>
      <c r="F75" s="71"/>
      <c r="G75" s="71"/>
      <c r="H75" s="71"/>
      <c r="I75" s="71"/>
      <c r="J75" s="71"/>
      <c r="K75" s="688"/>
    </row>
    <row r="76" spans="1:12" ht="12" hidden="1" customHeight="1" x14ac:dyDescent="0.25">
      <c r="A76" s="78" t="s">
        <v>148</v>
      </c>
      <c r="B76" s="58"/>
      <c r="C76" s="71"/>
      <c r="D76" s="71"/>
      <c r="E76" s="71"/>
      <c r="F76" s="71"/>
      <c r="G76" s="71"/>
      <c r="H76" s="71"/>
      <c r="I76" s="71"/>
      <c r="J76" s="71"/>
      <c r="K76" s="688"/>
    </row>
    <row r="77" spans="1:12" ht="12" hidden="1" customHeight="1" x14ac:dyDescent="0.25">
      <c r="A77" s="994" t="s">
        <v>146</v>
      </c>
      <c r="B77" s="995"/>
      <c r="C77" s="995"/>
      <c r="D77" s="995"/>
      <c r="E77" s="995"/>
      <c r="F77" s="995"/>
      <c r="G77" s="995"/>
      <c r="H77" s="995"/>
      <c r="I77" s="995"/>
      <c r="J77" s="995"/>
      <c r="K77" s="996"/>
    </row>
    <row r="78" spans="1:12" ht="12" hidden="1" customHeight="1" x14ac:dyDescent="0.25">
      <c r="A78" s="994" t="s">
        <v>1249</v>
      </c>
      <c r="B78" s="995"/>
      <c r="C78" s="995"/>
      <c r="D78" s="995"/>
      <c r="E78" s="995"/>
      <c r="F78" s="995"/>
      <c r="G78" s="995"/>
      <c r="H78" s="995"/>
      <c r="I78" s="995"/>
      <c r="J78" s="995"/>
      <c r="K78" s="996"/>
    </row>
    <row r="79" spans="1:12" ht="12" hidden="1" customHeight="1" x14ac:dyDescent="0.25">
      <c r="A79" s="997" t="s">
        <v>530</v>
      </c>
      <c r="B79" s="995"/>
      <c r="C79" s="995"/>
      <c r="D79" s="995"/>
      <c r="E79" s="995"/>
      <c r="F79" s="995"/>
      <c r="G79" s="995"/>
      <c r="H79" s="995"/>
      <c r="I79" s="995"/>
      <c r="J79" s="995"/>
      <c r="K79" s="996"/>
    </row>
    <row r="80" spans="1:12" ht="12" hidden="1" customHeight="1" x14ac:dyDescent="0.25">
      <c r="A80" s="78" t="s">
        <v>147</v>
      </c>
      <c r="B80" s="20"/>
      <c r="C80" s="20"/>
      <c r="D80" s="20"/>
      <c r="E80" s="20"/>
      <c r="F80" s="20"/>
      <c r="G80" s="20"/>
      <c r="H80" s="20"/>
      <c r="I80" s="20"/>
      <c r="J80" s="20"/>
      <c r="K80" s="704"/>
    </row>
    <row r="81" spans="1:11" ht="12" hidden="1" customHeight="1" x14ac:dyDescent="0.25">
      <c r="A81" s="78" t="s">
        <v>72</v>
      </c>
      <c r="B81" s="20"/>
      <c r="C81" s="20"/>
      <c r="D81" s="20"/>
      <c r="E81" s="20"/>
      <c r="F81" s="20"/>
      <c r="G81" s="20"/>
      <c r="H81" s="20"/>
      <c r="I81" s="20"/>
      <c r="J81" s="20"/>
      <c r="K81" s="704"/>
    </row>
    <row r="82" spans="1:11" ht="11.25" customHeight="1" x14ac:dyDescent="0.25">
      <c r="A82" s="78"/>
      <c r="B82" s="58"/>
      <c r="C82" s="71"/>
      <c r="D82" s="71"/>
      <c r="E82" s="71"/>
      <c r="F82" s="71"/>
      <c r="G82" s="71"/>
      <c r="H82" s="71"/>
      <c r="I82" s="71"/>
      <c r="J82" s="71"/>
      <c r="K82" s="688"/>
    </row>
    <row r="83" spans="1:11" ht="11.25" customHeight="1" x14ac:dyDescent="0.25">
      <c r="A83" s="78"/>
      <c r="C83" s="79"/>
      <c r="D83" s="79"/>
      <c r="E83" s="79"/>
      <c r="F83" s="79"/>
      <c r="G83" s="79"/>
      <c r="H83" s="79"/>
      <c r="I83" s="79"/>
      <c r="J83" s="79"/>
      <c r="K83" s="705"/>
    </row>
    <row r="84" spans="1:11" ht="11.25" customHeight="1" x14ac:dyDescent="0.25">
      <c r="A84" s="73" t="s">
        <v>733</v>
      </c>
      <c r="B84" s="58"/>
      <c r="C84" s="706">
        <f>C40-C74</f>
        <v>0</v>
      </c>
      <c r="D84" s="706">
        <f t="shared" ref="D84:K84" si="23">D40-D74</f>
        <v>0</v>
      </c>
      <c r="E84" s="706">
        <f t="shared" si="23"/>
        <v>0</v>
      </c>
      <c r="F84" s="706">
        <f t="shared" si="23"/>
        <v>0</v>
      </c>
      <c r="G84" s="706">
        <f t="shared" si="23"/>
        <v>0</v>
      </c>
      <c r="H84" s="706">
        <f t="shared" si="23"/>
        <v>0</v>
      </c>
      <c r="I84" s="706"/>
      <c r="J84" s="706"/>
      <c r="K84" s="707">
        <f t="shared" si="23"/>
        <v>0</v>
      </c>
    </row>
    <row r="85" spans="1:11" ht="11.25" customHeight="1" x14ac:dyDescent="0.25">
      <c r="A85" s="80"/>
      <c r="B85" s="681"/>
      <c r="C85" s="286"/>
      <c r="D85" s="286"/>
      <c r="E85" s="286"/>
      <c r="F85" s="286"/>
      <c r="G85" s="286"/>
      <c r="H85" s="286"/>
      <c r="I85" s="286"/>
      <c r="J85" s="286"/>
      <c r="K85" s="29"/>
    </row>
  </sheetData>
  <mergeCells count="6">
    <mergeCell ref="A1:K1"/>
    <mergeCell ref="A77:K77"/>
    <mergeCell ref="A79:K79"/>
    <mergeCell ref="A78:K78"/>
    <mergeCell ref="A2:A3"/>
    <mergeCell ref="B2:B3"/>
  </mergeCells>
  <phoneticPr fontId="3" type="noConversion"/>
  <printOptions horizontalCentered="1"/>
  <pageMargins left="0.19685039370078741" right="0.19685039370078741" top="0.39370078740157483" bottom="0.39370078740157483" header="0.51181102362204722" footer="0.51181102362204722"/>
  <pageSetup paperSize="9" scale="80" orientation="portrait" r:id="rId1"/>
  <headerFooter alignWithMargins="0"/>
  <ignoredErrors>
    <ignoredError sqref="C74:J74" formula="1"/>
    <ignoredError sqref="C54:D56 C73:D73 C21:C53 D21:J28 K21:K53 D7:K20 D30:J40 D29:I29 D47:G47 D45 I45:J45 D44 I44:J44 D53:G53 D48:D52 I48:J52 I54:J56 I73:J73 D42:J43 D41:F41 H41:J41 D46 I46:J46 I47:J47 I53:J53 H53 H47" formula="1" unlockedFormula="1"/>
    <ignoredError sqref="C6:K6 K54:K56 K73 C7:C20 H44:H46 H48:H52 H54:H56 H58:H62 H64:H69 H71:H73" unlockedFormula="1"/>
    <ignoredError sqref="C71:D72 C57:G57 J57:J68 K57:K70 J70 C63:G63 C58:D62 I58:I62 C70:G70 C66:D69 I66:I69 I71:J72 C65:G65 I65 C64:G64 I64 I57 I63 I70 H70 H63 H57" formula="1" formulaRange="1" unlockedFormula="1"/>
    <ignoredError sqref="K71:K72" formulaRange="1" unlockedFormula="1"/>
    <ignoredError sqref="J69" evalError="1" formula="1" formulaRange="1" unlockedFormula="1"/>
    <ignoredError sqref="J29" evalError="1" formula="1"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indexed="44"/>
    <pageSetUpPr fitToPage="1"/>
  </sheetPr>
  <dimension ref="A1:Y345"/>
  <sheetViews>
    <sheetView showGridLines="0" showZeros="0" view="pageBreakPreview" zoomScaleNormal="100" zoomScaleSheetLayoutView="100" workbookViewId="0">
      <pane xSplit="2" ySplit="4" topLeftCell="C224" activePane="bottomRight" state="frozen"/>
      <selection pane="topRight"/>
      <selection pane="bottomLeft"/>
      <selection pane="bottomRight" activeCell="G344" sqref="G344"/>
    </sheetView>
  </sheetViews>
  <sheetFormatPr defaultColWidth="9.140625" defaultRowHeight="12.75" x14ac:dyDescent="0.25"/>
  <cols>
    <col min="1" max="1" width="31.85546875" style="22" customWidth="1"/>
    <col min="2" max="2" width="3" style="386" customWidth="1"/>
    <col min="3" max="11" width="9.28515625" style="22" customWidth="1"/>
    <col min="12" max="23" width="9.140625" style="22" hidden="1" customWidth="1"/>
    <col min="24" max="24" width="2.28515625" style="22" hidden="1" customWidth="1"/>
    <col min="25" max="16384" width="9.140625" style="22"/>
  </cols>
  <sheetData>
    <row r="1" spans="1:24" ht="15" customHeight="1" x14ac:dyDescent="0.25">
      <c r="A1" s="982" t="str">
        <f>muni&amp; " - "&amp;S71D&amp; " - "&amp;"A"&amp; " - "&amp;date</f>
        <v>WC025 Breede Valley - Table C5 Monthly Budget Statement - Capital Expenditure (municipal vote, functional classification and funding) - A - Q4 Fourth Quarter</v>
      </c>
      <c r="B1" s="983"/>
      <c r="C1" s="983"/>
      <c r="D1" s="983"/>
      <c r="E1" s="983"/>
      <c r="F1" s="983"/>
      <c r="G1" s="983"/>
      <c r="H1" s="983"/>
      <c r="I1" s="983"/>
      <c r="J1" s="983"/>
      <c r="K1" s="984"/>
      <c r="X1" s="22">
        <v>12</v>
      </c>
    </row>
    <row r="2" spans="1:24" ht="28.5" customHeight="1" x14ac:dyDescent="0.25">
      <c r="A2" s="360" t="str">
        <f>Vdesc</f>
        <v>Vote Description</v>
      </c>
      <c r="B2" s="361" t="str">
        <f>head27</f>
        <v>Ref</v>
      </c>
      <c r="C2" s="117" t="str">
        <f>Head1</f>
        <v>2017/18</v>
      </c>
      <c r="D2" s="975" t="str">
        <f>Head2</f>
        <v>Budget Year 2018/19</v>
      </c>
      <c r="E2" s="976"/>
      <c r="F2" s="976"/>
      <c r="G2" s="976"/>
      <c r="H2" s="976"/>
      <c r="I2" s="976"/>
      <c r="J2" s="976"/>
      <c r="K2" s="977"/>
      <c r="L2" s="998" t="e">
        <f>Head4</f>
        <v>#REF!</v>
      </c>
      <c r="M2" s="999"/>
      <c r="N2" s="999"/>
      <c r="O2" s="999"/>
      <c r="P2" s="999"/>
      <c r="Q2" s="999"/>
      <c r="R2" s="999"/>
      <c r="S2" s="999"/>
      <c r="T2" s="999"/>
      <c r="U2" s="999"/>
      <c r="V2" s="999"/>
      <c r="W2" s="1000"/>
    </row>
    <row r="3" spans="1:24" ht="25.5" x14ac:dyDescent="0.25">
      <c r="A3" s="188" t="s">
        <v>123</v>
      </c>
      <c r="B3" s="391"/>
      <c r="C3" s="155" t="str">
        <f>Head5</f>
        <v>Audited Outcome</v>
      </c>
      <c r="D3" s="124" t="str">
        <f>Head6</f>
        <v>Original Budget</v>
      </c>
      <c r="E3" s="24" t="str">
        <f>Head7</f>
        <v>Adjusted Budget</v>
      </c>
      <c r="F3" s="24" t="str">
        <f>Head38</f>
        <v>Monthly actual</v>
      </c>
      <c r="G3" s="24" t="str">
        <f>Head39</f>
        <v>YearTD actual</v>
      </c>
      <c r="H3" s="24" t="str">
        <f>Head40</f>
        <v>YearTD budget</v>
      </c>
      <c r="I3" s="24" t="str">
        <f>Head41</f>
        <v>YTD variance</v>
      </c>
      <c r="J3" s="191" t="str">
        <f>Head41</f>
        <v>YTD variance</v>
      </c>
      <c r="K3" s="155" t="str">
        <f>Head8</f>
        <v>Full Year Forecast</v>
      </c>
      <c r="L3" s="490" t="str">
        <f>Head12</f>
        <v>Forecast 2010/11</v>
      </c>
      <c r="M3" s="491" t="str">
        <f>Head13</f>
        <v>Forecast 2011/12</v>
      </c>
      <c r="N3" s="491" t="str">
        <f>Head14</f>
        <v>Forecast 2012/13</v>
      </c>
      <c r="O3" s="491" t="str">
        <f>Head15</f>
        <v>Forecast 2013/14</v>
      </c>
      <c r="P3" s="491" t="str">
        <f>Head16</f>
        <v>Forecast 2014/15</v>
      </c>
      <c r="Q3" s="491" t="str">
        <f>Head17</f>
        <v>Forecast 2015/16</v>
      </c>
      <c r="R3" s="491" t="str">
        <f>Head18</f>
        <v>Forecast 2016/17</v>
      </c>
      <c r="S3" s="491" t="str">
        <f>Head19</f>
        <v>Forecast 2017/18</v>
      </c>
      <c r="T3" s="491" t="str">
        <f>Head20</f>
        <v>Forecast 2018/19</v>
      </c>
      <c r="U3" s="491" t="str">
        <f>Head21</f>
        <v>Forecast 2019/20</v>
      </c>
      <c r="V3" s="491" t="str">
        <f>Head22</f>
        <v>Forecast 2020/21</v>
      </c>
      <c r="W3" s="491" t="str">
        <f>Head23</f>
        <v>Forecast 2021/22</v>
      </c>
    </row>
    <row r="4" spans="1:24" ht="11.25" customHeight="1" x14ac:dyDescent="0.25">
      <c r="A4" s="31"/>
      <c r="B4" s="362"/>
      <c r="C4" s="187"/>
      <c r="D4" s="203"/>
      <c r="E4" s="204"/>
      <c r="F4" s="74"/>
      <c r="G4" s="74"/>
      <c r="H4" s="74"/>
      <c r="I4" s="74"/>
      <c r="J4" s="205" t="s">
        <v>586</v>
      </c>
      <c r="K4" s="187"/>
      <c r="L4" s="352"/>
      <c r="M4" s="35"/>
      <c r="N4" s="35"/>
      <c r="O4" s="35"/>
      <c r="P4" s="35"/>
      <c r="Q4" s="35"/>
      <c r="R4" s="35"/>
      <c r="S4" s="35"/>
      <c r="T4" s="35"/>
      <c r="U4" s="35"/>
      <c r="V4" s="35"/>
      <c r="W4" s="35"/>
    </row>
    <row r="5" spans="1:24" ht="11.25" customHeight="1" x14ac:dyDescent="0.25">
      <c r="A5" s="32" t="s">
        <v>807</v>
      </c>
      <c r="B5" s="391"/>
      <c r="C5" s="392"/>
      <c r="D5" s="401"/>
      <c r="E5" s="402"/>
      <c r="F5" s="393"/>
      <c r="G5" s="394"/>
      <c r="H5" s="393"/>
      <c r="I5" s="394"/>
      <c r="J5" s="395"/>
      <c r="K5" s="396"/>
      <c r="L5" s="352"/>
      <c r="M5" s="35"/>
      <c r="N5" s="35"/>
      <c r="O5" s="35"/>
      <c r="P5" s="35"/>
      <c r="Q5" s="35"/>
      <c r="R5" s="35"/>
      <c r="S5" s="35"/>
      <c r="T5" s="35"/>
      <c r="U5" s="35"/>
      <c r="V5" s="35"/>
      <c r="W5" s="35"/>
    </row>
    <row r="6" spans="1:24" ht="11.25" customHeight="1" x14ac:dyDescent="0.25">
      <c r="A6" s="32" t="s">
        <v>810</v>
      </c>
      <c r="B6" s="346">
        <v>1</v>
      </c>
      <c r="C6" s="392"/>
      <c r="D6" s="157"/>
      <c r="E6" s="138"/>
      <c r="F6" s="393"/>
      <c r="G6" s="394"/>
      <c r="H6" s="393"/>
      <c r="I6" s="394"/>
      <c r="J6" s="395"/>
      <c r="K6" s="396"/>
      <c r="L6" s="352"/>
      <c r="M6" s="35"/>
      <c r="N6" s="35"/>
      <c r="O6" s="35"/>
      <c r="P6" s="35"/>
      <c r="Q6" s="35"/>
      <c r="R6" s="35"/>
      <c r="S6" s="35"/>
      <c r="T6" s="35"/>
      <c r="U6" s="35"/>
      <c r="V6" s="35"/>
      <c r="W6" s="35"/>
    </row>
    <row r="7" spans="1:24" ht="11.25" customHeight="1" x14ac:dyDescent="0.25">
      <c r="A7" s="88" t="str">
        <f>'Org structure'!A2</f>
        <v>Vote 1 - Council General</v>
      </c>
      <c r="B7" s="363"/>
      <c r="C7" s="397">
        <f>SUM(C8:C17)</f>
        <v>0</v>
      </c>
      <c r="D7" s="367">
        <f t="shared" ref="D7:K7" si="0">SUM(D8:D17)</f>
        <v>0</v>
      </c>
      <c r="E7" s="364">
        <f t="shared" si="0"/>
        <v>0</v>
      </c>
      <c r="F7" s="366">
        <f t="shared" si="0"/>
        <v>0</v>
      </c>
      <c r="G7" s="364">
        <f t="shared" si="0"/>
        <v>0</v>
      </c>
      <c r="H7" s="366">
        <f t="shared" si="0"/>
        <v>0</v>
      </c>
      <c r="I7" s="46">
        <f t="shared" ref="I7:I70" si="1">G7-H7</f>
        <v>0</v>
      </c>
      <c r="J7" s="121" t="str">
        <f t="shared" ref="J7:J70" si="2">IF(I7=0,"",I7/H7)</f>
        <v/>
      </c>
      <c r="K7" s="365">
        <f t="shared" si="0"/>
        <v>0</v>
      </c>
      <c r="L7" s="352"/>
      <c r="M7" s="35"/>
      <c r="N7" s="35"/>
      <c r="O7" s="35"/>
      <c r="P7" s="35"/>
      <c r="Q7" s="35"/>
      <c r="R7" s="35"/>
      <c r="S7" s="35"/>
      <c r="T7" s="35"/>
      <c r="U7" s="35"/>
      <c r="V7" s="35"/>
      <c r="W7" s="35"/>
    </row>
    <row r="8" spans="1:24" ht="11.25" customHeight="1" x14ac:dyDescent="0.25">
      <c r="A8" s="36" t="str">
        <f>'Org structure'!E3</f>
        <v>1.1 - Admin</v>
      </c>
      <c r="B8" s="368"/>
      <c r="C8" s="521">
        <v>0</v>
      </c>
      <c r="D8" s="522">
        <v>0</v>
      </c>
      <c r="E8" s="523">
        <v>0</v>
      </c>
      <c r="F8" s="524">
        <v>0</v>
      </c>
      <c r="G8" s="523">
        <v>0</v>
      </c>
      <c r="H8" s="524">
        <f>E8/12*$X$1</f>
        <v>0</v>
      </c>
      <c r="I8" s="41">
        <f t="shared" si="1"/>
        <v>0</v>
      </c>
      <c r="J8" s="165" t="str">
        <f t="shared" si="2"/>
        <v/>
      </c>
      <c r="K8" s="525">
        <f>E8</f>
        <v>0</v>
      </c>
      <c r="L8" s="352"/>
      <c r="M8" s="35"/>
      <c r="N8" s="35"/>
      <c r="O8" s="35"/>
      <c r="P8" s="35"/>
      <c r="Q8" s="35"/>
      <c r="R8" s="35"/>
      <c r="S8" s="35"/>
      <c r="T8" s="35"/>
      <c r="U8" s="35"/>
      <c r="V8" s="35"/>
      <c r="W8" s="35"/>
    </row>
    <row r="9" spans="1:24" ht="11.25" customHeight="1" x14ac:dyDescent="0.25">
      <c r="A9" s="36" t="str">
        <f>'Org structure'!E4</f>
        <v>1.2 - Mayoral Office</v>
      </c>
      <c r="B9" s="368"/>
      <c r="C9" s="521">
        <v>0</v>
      </c>
      <c r="D9" s="522">
        <v>0</v>
      </c>
      <c r="E9" s="523">
        <v>0</v>
      </c>
      <c r="F9" s="524">
        <v>0</v>
      </c>
      <c r="G9" s="523">
        <v>0</v>
      </c>
      <c r="H9" s="524">
        <f>E9/12*$X$1</f>
        <v>0</v>
      </c>
      <c r="I9" s="41">
        <f t="shared" si="1"/>
        <v>0</v>
      </c>
      <c r="J9" s="165" t="str">
        <f t="shared" si="2"/>
        <v/>
      </c>
      <c r="K9" s="525">
        <f>E9</f>
        <v>0</v>
      </c>
      <c r="L9" s="352"/>
      <c r="M9" s="35"/>
      <c r="N9" s="35"/>
      <c r="O9" s="35"/>
      <c r="P9" s="35"/>
      <c r="Q9" s="35"/>
      <c r="R9" s="35"/>
      <c r="S9" s="35"/>
      <c r="T9" s="35"/>
      <c r="U9" s="35"/>
      <c r="V9" s="35"/>
      <c r="W9" s="35"/>
    </row>
    <row r="10" spans="1:24" ht="11.25" customHeight="1" x14ac:dyDescent="0.25">
      <c r="A10" s="36">
        <f>'Org structure'!E5</f>
        <v>0</v>
      </c>
      <c r="B10" s="368"/>
      <c r="C10" s="521"/>
      <c r="D10" s="522"/>
      <c r="E10" s="523"/>
      <c r="F10" s="524"/>
      <c r="G10" s="523"/>
      <c r="H10" s="524"/>
      <c r="I10" s="41">
        <f t="shared" si="1"/>
        <v>0</v>
      </c>
      <c r="J10" s="165" t="str">
        <f t="shared" si="2"/>
        <v/>
      </c>
      <c r="K10" s="525"/>
      <c r="L10" s="352"/>
      <c r="M10" s="35"/>
      <c r="N10" s="35"/>
      <c r="O10" s="35"/>
      <c r="P10" s="35"/>
      <c r="Q10" s="35"/>
      <c r="R10" s="35"/>
      <c r="S10" s="35"/>
      <c r="T10" s="35"/>
      <c r="U10" s="35"/>
      <c r="V10" s="35"/>
      <c r="W10" s="35"/>
    </row>
    <row r="11" spans="1:24" ht="11.25" customHeight="1" x14ac:dyDescent="0.25">
      <c r="A11" s="36">
        <f>'Org structure'!E6</f>
        <v>0</v>
      </c>
      <c r="B11" s="368"/>
      <c r="C11" s="521"/>
      <c r="D11" s="522"/>
      <c r="E11" s="523"/>
      <c r="F11" s="524"/>
      <c r="G11" s="523"/>
      <c r="H11" s="524"/>
      <c r="I11" s="41">
        <f t="shared" si="1"/>
        <v>0</v>
      </c>
      <c r="J11" s="165" t="str">
        <f t="shared" si="2"/>
        <v/>
      </c>
      <c r="K11" s="525"/>
      <c r="L11" s="352"/>
      <c r="M11" s="35"/>
      <c r="N11" s="35"/>
      <c r="O11" s="35"/>
      <c r="P11" s="35"/>
      <c r="Q11" s="35"/>
      <c r="R11" s="35"/>
      <c r="S11" s="35"/>
      <c r="T11" s="35"/>
      <c r="U11" s="35"/>
      <c r="V11" s="35"/>
      <c r="W11" s="35"/>
    </row>
    <row r="12" spans="1:24" ht="11.25" customHeight="1" x14ac:dyDescent="0.25">
      <c r="A12" s="36">
        <f>'Org structure'!E7</f>
        <v>0</v>
      </c>
      <c r="B12" s="368"/>
      <c r="C12" s="521"/>
      <c r="D12" s="522"/>
      <c r="E12" s="523"/>
      <c r="F12" s="524"/>
      <c r="G12" s="523"/>
      <c r="H12" s="524"/>
      <c r="I12" s="41">
        <f t="shared" si="1"/>
        <v>0</v>
      </c>
      <c r="J12" s="165" t="str">
        <f t="shared" si="2"/>
        <v/>
      </c>
      <c r="K12" s="525"/>
      <c r="L12" s="352"/>
      <c r="M12" s="35"/>
      <c r="N12" s="35"/>
      <c r="O12" s="35"/>
      <c r="P12" s="35"/>
      <c r="Q12" s="35"/>
      <c r="R12" s="35"/>
      <c r="S12" s="35"/>
      <c r="T12" s="35"/>
      <c r="U12" s="35"/>
      <c r="V12" s="35"/>
      <c r="W12" s="35"/>
    </row>
    <row r="13" spans="1:24" ht="11.25" customHeight="1" x14ac:dyDescent="0.25">
      <c r="A13" s="36">
        <f>'Org structure'!E8</f>
        <v>0</v>
      </c>
      <c r="B13" s="368"/>
      <c r="C13" s="521"/>
      <c r="D13" s="522"/>
      <c r="E13" s="523"/>
      <c r="F13" s="524"/>
      <c r="G13" s="523"/>
      <c r="H13" s="524"/>
      <c r="I13" s="41">
        <f t="shared" si="1"/>
        <v>0</v>
      </c>
      <c r="J13" s="165" t="str">
        <f t="shared" si="2"/>
        <v/>
      </c>
      <c r="K13" s="525"/>
      <c r="L13" s="352"/>
      <c r="M13" s="35"/>
      <c r="N13" s="35"/>
      <c r="O13" s="35"/>
      <c r="P13" s="35"/>
      <c r="Q13" s="35"/>
      <c r="R13" s="35"/>
      <c r="S13" s="35"/>
      <c r="T13" s="35"/>
      <c r="U13" s="35"/>
      <c r="V13" s="35"/>
      <c r="W13" s="35"/>
    </row>
    <row r="14" spans="1:24" ht="11.25" customHeight="1" x14ac:dyDescent="0.25">
      <c r="A14" s="36">
        <f>'Org structure'!E9</f>
        <v>0</v>
      </c>
      <c r="B14" s="368"/>
      <c r="C14" s="521"/>
      <c r="D14" s="522"/>
      <c r="E14" s="523"/>
      <c r="F14" s="524"/>
      <c r="G14" s="523"/>
      <c r="H14" s="524"/>
      <c r="I14" s="41">
        <f t="shared" si="1"/>
        <v>0</v>
      </c>
      <c r="J14" s="165" t="str">
        <f t="shared" si="2"/>
        <v/>
      </c>
      <c r="K14" s="525"/>
      <c r="L14" s="352"/>
      <c r="M14" s="35"/>
      <c r="N14" s="35"/>
      <c r="O14" s="35"/>
      <c r="P14" s="35"/>
      <c r="Q14" s="35"/>
      <c r="R14" s="35"/>
      <c r="S14" s="35"/>
      <c r="T14" s="35"/>
      <c r="U14" s="35"/>
      <c r="V14" s="35"/>
      <c r="W14" s="35"/>
    </row>
    <row r="15" spans="1:24" ht="11.25" customHeight="1" x14ac:dyDescent="0.25">
      <c r="A15" s="36">
        <f>'Org structure'!E10</f>
        <v>0</v>
      </c>
      <c r="B15" s="368"/>
      <c r="C15" s="521"/>
      <c r="D15" s="522"/>
      <c r="E15" s="523"/>
      <c r="F15" s="524"/>
      <c r="G15" s="523"/>
      <c r="H15" s="524"/>
      <c r="I15" s="41">
        <f t="shared" si="1"/>
        <v>0</v>
      </c>
      <c r="J15" s="165" t="str">
        <f t="shared" si="2"/>
        <v/>
      </c>
      <c r="K15" s="525"/>
      <c r="L15" s="352"/>
      <c r="M15" s="35"/>
      <c r="N15" s="35"/>
      <c r="O15" s="35"/>
      <c r="P15" s="35"/>
      <c r="Q15" s="35"/>
      <c r="R15" s="35"/>
      <c r="S15" s="35"/>
      <c r="T15" s="35"/>
      <c r="U15" s="35"/>
      <c r="V15" s="35"/>
      <c r="W15" s="35"/>
    </row>
    <row r="16" spans="1:24" ht="11.25" customHeight="1" x14ac:dyDescent="0.25">
      <c r="A16" s="36">
        <f>'Org structure'!E11</f>
        <v>0</v>
      </c>
      <c r="B16" s="368"/>
      <c r="C16" s="521"/>
      <c r="D16" s="522"/>
      <c r="E16" s="523"/>
      <c r="F16" s="524"/>
      <c r="G16" s="523"/>
      <c r="H16" s="524"/>
      <c r="I16" s="41">
        <f t="shared" si="1"/>
        <v>0</v>
      </c>
      <c r="J16" s="165" t="str">
        <f t="shared" si="2"/>
        <v/>
      </c>
      <c r="K16" s="525"/>
      <c r="L16" s="352"/>
      <c r="M16" s="35"/>
      <c r="N16" s="35"/>
      <c r="O16" s="35"/>
      <c r="P16" s="35"/>
      <c r="Q16" s="35"/>
      <c r="R16" s="35"/>
      <c r="S16" s="35"/>
      <c r="T16" s="35"/>
      <c r="U16" s="35"/>
      <c r="V16" s="35"/>
      <c r="W16" s="35"/>
    </row>
    <row r="17" spans="1:23" ht="11.25" customHeight="1" x14ac:dyDescent="0.25">
      <c r="A17" s="36">
        <f>'Org structure'!E12</f>
        <v>0</v>
      </c>
      <c r="B17" s="368"/>
      <c r="C17" s="521"/>
      <c r="D17" s="522"/>
      <c r="E17" s="523"/>
      <c r="F17" s="524"/>
      <c r="G17" s="523"/>
      <c r="H17" s="524"/>
      <c r="I17" s="41">
        <f t="shared" si="1"/>
        <v>0</v>
      </c>
      <c r="J17" s="165" t="str">
        <f t="shared" si="2"/>
        <v/>
      </c>
      <c r="K17" s="525"/>
      <c r="L17" s="352"/>
      <c r="M17" s="35"/>
      <c r="N17" s="35"/>
      <c r="O17" s="35"/>
      <c r="P17" s="35"/>
      <c r="Q17" s="35"/>
      <c r="R17" s="35"/>
      <c r="S17" s="35"/>
      <c r="T17" s="35"/>
      <c r="U17" s="35"/>
      <c r="V17" s="35"/>
      <c r="W17" s="35"/>
    </row>
    <row r="18" spans="1:23" ht="11.25" customHeight="1" x14ac:dyDescent="0.25">
      <c r="A18" s="88" t="str">
        <f>'Org structure'!A3</f>
        <v>Vote 2 - Municipal Manager</v>
      </c>
      <c r="B18" s="363"/>
      <c r="C18" s="397">
        <f>SUM(C19:C28)</f>
        <v>0</v>
      </c>
      <c r="D18" s="367">
        <f t="shared" ref="D18:K18" si="3">SUM(D19:D28)</f>
        <v>3200000</v>
      </c>
      <c r="E18" s="364">
        <f t="shared" si="3"/>
        <v>4413891</v>
      </c>
      <c r="F18" s="366">
        <f t="shared" si="3"/>
        <v>663962.87</v>
      </c>
      <c r="G18" s="364">
        <f t="shared" si="3"/>
        <v>2200698.9900000002</v>
      </c>
      <c r="H18" s="366">
        <f t="shared" si="3"/>
        <v>4413891</v>
      </c>
      <c r="I18" s="41">
        <f t="shared" si="1"/>
        <v>-2213192.0099999998</v>
      </c>
      <c r="J18" s="165">
        <f t="shared" si="2"/>
        <v>-0.50141519353332464</v>
      </c>
      <c r="K18" s="365">
        <f t="shared" si="3"/>
        <v>4413891</v>
      </c>
      <c r="L18" s="352"/>
      <c r="M18" s="35"/>
      <c r="N18" s="35"/>
      <c r="O18" s="35"/>
      <c r="P18" s="35"/>
      <c r="Q18" s="35"/>
      <c r="R18" s="35"/>
      <c r="S18" s="35"/>
      <c r="T18" s="35"/>
      <c r="U18" s="35"/>
      <c r="V18" s="35"/>
      <c r="W18" s="35"/>
    </row>
    <row r="19" spans="1:23" ht="11.25" customHeight="1" x14ac:dyDescent="0.25">
      <c r="A19" s="36" t="str">
        <f>'Org structure'!E14</f>
        <v>2.1 - Office Support</v>
      </c>
      <c r="B19" s="368"/>
      <c r="C19" s="521">
        <v>0</v>
      </c>
      <c r="D19" s="522">
        <v>0</v>
      </c>
      <c r="E19" s="523">
        <v>0</v>
      </c>
      <c r="F19" s="524">
        <v>0</v>
      </c>
      <c r="G19" s="523">
        <v>0</v>
      </c>
      <c r="H19" s="524">
        <f t="shared" ref="H19:H24" si="4">E19/12*$X$1</f>
        <v>0</v>
      </c>
      <c r="I19" s="41">
        <f t="shared" si="1"/>
        <v>0</v>
      </c>
      <c r="J19" s="165" t="str">
        <f t="shared" si="2"/>
        <v/>
      </c>
      <c r="K19" s="525">
        <f>E19</f>
        <v>0</v>
      </c>
      <c r="L19" s="352"/>
      <c r="M19" s="35"/>
      <c r="N19" s="35"/>
      <c r="O19" s="35"/>
      <c r="P19" s="35"/>
      <c r="Q19" s="35"/>
      <c r="R19" s="35"/>
      <c r="S19" s="35"/>
      <c r="T19" s="35"/>
      <c r="U19" s="35"/>
      <c r="V19" s="35"/>
      <c r="W19" s="35"/>
    </row>
    <row r="20" spans="1:23" ht="11.25" customHeight="1" x14ac:dyDescent="0.25">
      <c r="A20" s="36" t="str">
        <f>'Org structure'!E15</f>
        <v>2.2 - Internal Audit</v>
      </c>
      <c r="B20" s="368"/>
      <c r="C20" s="521">
        <v>0</v>
      </c>
      <c r="D20" s="522">
        <v>0</v>
      </c>
      <c r="E20" s="523">
        <v>0</v>
      </c>
      <c r="F20" s="524">
        <v>0</v>
      </c>
      <c r="G20" s="523">
        <v>0</v>
      </c>
      <c r="H20" s="524">
        <f t="shared" si="4"/>
        <v>0</v>
      </c>
      <c r="I20" s="41">
        <f t="shared" si="1"/>
        <v>0</v>
      </c>
      <c r="J20" s="165" t="str">
        <f t="shared" si="2"/>
        <v/>
      </c>
      <c r="K20" s="525">
        <f>E20</f>
        <v>0</v>
      </c>
      <c r="L20" s="352"/>
      <c r="M20" s="35"/>
      <c r="N20" s="35"/>
      <c r="O20" s="35"/>
      <c r="P20" s="35"/>
      <c r="Q20" s="35"/>
      <c r="R20" s="35"/>
      <c r="S20" s="35"/>
      <c r="T20" s="35"/>
      <c r="U20" s="35"/>
      <c r="V20" s="35"/>
      <c r="W20" s="35"/>
    </row>
    <row r="21" spans="1:23" ht="11.25" customHeight="1" x14ac:dyDescent="0.25">
      <c r="A21" s="36" t="str">
        <f>'Org structure'!E16</f>
        <v>2.3 - Project Management</v>
      </c>
      <c r="B21" s="368"/>
      <c r="C21" s="521">
        <v>0</v>
      </c>
      <c r="D21" s="522">
        <v>3200000</v>
      </c>
      <c r="E21" s="523">
        <v>4413891</v>
      </c>
      <c r="F21" s="524">
        <v>663962.87</v>
      </c>
      <c r="G21" s="523">
        <v>2200698.9900000002</v>
      </c>
      <c r="H21" s="524">
        <f t="shared" si="4"/>
        <v>4413891</v>
      </c>
      <c r="I21" s="41">
        <f t="shared" si="1"/>
        <v>-2213192.0099999998</v>
      </c>
      <c r="J21" s="165">
        <f t="shared" si="2"/>
        <v>-0.50141519353332464</v>
      </c>
      <c r="K21" s="525">
        <f>E21</f>
        <v>4413891</v>
      </c>
      <c r="L21" s="352"/>
      <c r="M21" s="35"/>
      <c r="N21" s="35"/>
      <c r="O21" s="35"/>
      <c r="P21" s="35"/>
      <c r="Q21" s="35"/>
      <c r="R21" s="35"/>
      <c r="S21" s="35"/>
      <c r="T21" s="35"/>
      <c r="U21" s="35"/>
      <c r="V21" s="35"/>
      <c r="W21" s="35"/>
    </row>
    <row r="22" spans="1:23" ht="11.25" customHeight="1" x14ac:dyDescent="0.25">
      <c r="A22" s="36" t="str">
        <f>'Org structure'!E17</f>
        <v>2.4 - Ombudsman</v>
      </c>
      <c r="B22" s="368"/>
      <c r="C22" s="521">
        <v>0</v>
      </c>
      <c r="D22" s="522">
        <v>0</v>
      </c>
      <c r="E22" s="523">
        <v>0</v>
      </c>
      <c r="F22" s="524">
        <v>0</v>
      </c>
      <c r="G22" s="523">
        <v>0</v>
      </c>
      <c r="H22" s="524">
        <f t="shared" si="4"/>
        <v>0</v>
      </c>
      <c r="I22" s="41">
        <f t="shared" si="1"/>
        <v>0</v>
      </c>
      <c r="J22" s="165" t="str">
        <f t="shared" si="2"/>
        <v/>
      </c>
      <c r="K22" s="525">
        <f>E22</f>
        <v>0</v>
      </c>
      <c r="L22" s="352"/>
      <c r="M22" s="35"/>
      <c r="N22" s="35"/>
      <c r="O22" s="35"/>
      <c r="P22" s="35"/>
      <c r="Q22" s="35"/>
      <c r="R22" s="35"/>
      <c r="S22" s="35"/>
      <c r="T22" s="35"/>
      <c r="U22" s="35"/>
      <c r="V22" s="35"/>
      <c r="W22" s="35"/>
    </row>
    <row r="23" spans="1:23" ht="11.25" customHeight="1" x14ac:dyDescent="0.25">
      <c r="A23" s="36" t="str">
        <f>'Org structure'!E18</f>
        <v>2.5 - Enterprise Risk Management</v>
      </c>
      <c r="B23" s="368"/>
      <c r="C23" s="521">
        <v>0</v>
      </c>
      <c r="D23" s="522">
        <v>0</v>
      </c>
      <c r="E23" s="523">
        <v>0</v>
      </c>
      <c r="F23" s="524">
        <v>0</v>
      </c>
      <c r="G23" s="523">
        <v>0</v>
      </c>
      <c r="H23" s="524">
        <f t="shared" si="4"/>
        <v>0</v>
      </c>
      <c r="I23" s="41">
        <f t="shared" si="1"/>
        <v>0</v>
      </c>
      <c r="J23" s="165" t="str">
        <f t="shared" si="2"/>
        <v/>
      </c>
      <c r="K23" s="525"/>
      <c r="L23" s="352"/>
      <c r="M23" s="35"/>
      <c r="N23" s="35"/>
      <c r="O23" s="35"/>
      <c r="P23" s="35"/>
      <c r="Q23" s="35"/>
      <c r="R23" s="35"/>
      <c r="S23" s="35"/>
      <c r="T23" s="35"/>
      <c r="U23" s="35"/>
      <c r="V23" s="35"/>
      <c r="W23" s="35"/>
    </row>
    <row r="24" spans="1:23" ht="11.25" customHeight="1" x14ac:dyDescent="0.25">
      <c r="A24" s="36" t="str">
        <f>'Org structure'!E19</f>
        <v>2.6 - Jobs4U</v>
      </c>
      <c r="B24" s="368"/>
      <c r="C24" s="521">
        <v>0</v>
      </c>
      <c r="D24" s="522">
        <v>0</v>
      </c>
      <c r="E24" s="523">
        <v>0</v>
      </c>
      <c r="F24" s="524">
        <v>0</v>
      </c>
      <c r="G24" s="523">
        <v>0</v>
      </c>
      <c r="H24" s="524">
        <f t="shared" si="4"/>
        <v>0</v>
      </c>
      <c r="I24" s="41">
        <f t="shared" si="1"/>
        <v>0</v>
      </c>
      <c r="J24" s="165" t="str">
        <f t="shared" si="2"/>
        <v/>
      </c>
      <c r="K24" s="525"/>
      <c r="L24" s="352"/>
      <c r="M24" s="35"/>
      <c r="N24" s="35"/>
      <c r="O24" s="35"/>
      <c r="P24" s="35"/>
      <c r="Q24" s="35"/>
      <c r="R24" s="35"/>
      <c r="S24" s="35"/>
      <c r="T24" s="35"/>
      <c r="U24" s="35"/>
      <c r="V24" s="35"/>
      <c r="W24" s="35"/>
    </row>
    <row r="25" spans="1:23" ht="11.25" customHeight="1" x14ac:dyDescent="0.25">
      <c r="A25" s="36">
        <f>'Org structure'!E20</f>
        <v>0</v>
      </c>
      <c r="B25" s="368"/>
      <c r="C25" s="521"/>
      <c r="D25" s="522"/>
      <c r="E25" s="523"/>
      <c r="F25" s="524"/>
      <c r="G25" s="523"/>
      <c r="H25" s="524"/>
      <c r="I25" s="41">
        <f t="shared" si="1"/>
        <v>0</v>
      </c>
      <c r="J25" s="165" t="str">
        <f t="shared" si="2"/>
        <v/>
      </c>
      <c r="K25" s="525"/>
      <c r="L25" s="352"/>
      <c r="M25" s="35"/>
      <c r="N25" s="35"/>
      <c r="O25" s="35"/>
      <c r="P25" s="35"/>
      <c r="Q25" s="35"/>
      <c r="R25" s="35"/>
      <c r="S25" s="35"/>
      <c r="T25" s="35"/>
      <c r="U25" s="35"/>
      <c r="V25" s="35"/>
      <c r="W25" s="35"/>
    </row>
    <row r="26" spans="1:23" ht="11.25" customHeight="1" x14ac:dyDescent="0.25">
      <c r="A26" s="36">
        <f>'Org structure'!E21</f>
        <v>0</v>
      </c>
      <c r="B26" s="368"/>
      <c r="C26" s="521"/>
      <c r="D26" s="522"/>
      <c r="E26" s="523"/>
      <c r="F26" s="524"/>
      <c r="G26" s="523"/>
      <c r="H26" s="524"/>
      <c r="I26" s="41">
        <f t="shared" si="1"/>
        <v>0</v>
      </c>
      <c r="J26" s="165" t="str">
        <f t="shared" si="2"/>
        <v/>
      </c>
      <c r="K26" s="525"/>
      <c r="L26" s="352"/>
      <c r="M26" s="35"/>
      <c r="N26" s="35"/>
      <c r="O26" s="35"/>
      <c r="P26" s="35"/>
      <c r="Q26" s="35"/>
      <c r="R26" s="35"/>
      <c r="S26" s="35"/>
      <c r="T26" s="35"/>
      <c r="U26" s="35"/>
      <c r="V26" s="35"/>
      <c r="W26" s="35"/>
    </row>
    <row r="27" spans="1:23" ht="11.25" customHeight="1" x14ac:dyDescent="0.25">
      <c r="A27" s="36">
        <f>'Org structure'!E22</f>
        <v>0</v>
      </c>
      <c r="B27" s="368"/>
      <c r="C27" s="521"/>
      <c r="D27" s="522"/>
      <c r="E27" s="523"/>
      <c r="F27" s="524"/>
      <c r="G27" s="523"/>
      <c r="H27" s="524"/>
      <c r="I27" s="41">
        <f t="shared" si="1"/>
        <v>0</v>
      </c>
      <c r="J27" s="165" t="str">
        <f t="shared" si="2"/>
        <v/>
      </c>
      <c r="K27" s="525"/>
      <c r="L27" s="352"/>
      <c r="M27" s="35"/>
      <c r="N27" s="35"/>
      <c r="O27" s="35"/>
      <c r="P27" s="35"/>
      <c r="Q27" s="35"/>
      <c r="R27" s="35"/>
      <c r="S27" s="35"/>
      <c r="T27" s="35"/>
      <c r="U27" s="35"/>
      <c r="V27" s="35"/>
      <c r="W27" s="35"/>
    </row>
    <row r="28" spans="1:23" ht="11.25" customHeight="1" x14ac:dyDescent="0.25">
      <c r="A28" s="36">
        <f>'Org structure'!E23</f>
        <v>0</v>
      </c>
      <c r="B28" s="368"/>
      <c r="C28" s="521"/>
      <c r="D28" s="522"/>
      <c r="E28" s="523"/>
      <c r="F28" s="524"/>
      <c r="G28" s="523"/>
      <c r="H28" s="524"/>
      <c r="I28" s="41">
        <f t="shared" si="1"/>
        <v>0</v>
      </c>
      <c r="J28" s="165" t="str">
        <f t="shared" si="2"/>
        <v/>
      </c>
      <c r="K28" s="525"/>
      <c r="L28" s="352"/>
      <c r="M28" s="35"/>
      <c r="N28" s="35"/>
      <c r="O28" s="35"/>
      <c r="P28" s="35"/>
      <c r="Q28" s="35"/>
      <c r="R28" s="35"/>
      <c r="S28" s="35"/>
      <c r="T28" s="35"/>
      <c r="U28" s="35"/>
      <c r="V28" s="35"/>
      <c r="W28" s="35"/>
    </row>
    <row r="29" spans="1:23" ht="11.25" customHeight="1" x14ac:dyDescent="0.25">
      <c r="A29" s="88" t="str">
        <f>'Org structure'!A4</f>
        <v>Vote 3 - Strategic Support Services</v>
      </c>
      <c r="B29" s="363"/>
      <c r="C29" s="397">
        <f t="shared" ref="C29:K29" si="5">SUM(C30:C39)</f>
        <v>0</v>
      </c>
      <c r="D29" s="367">
        <f t="shared" si="5"/>
        <v>7062800</v>
      </c>
      <c r="E29" s="364">
        <f t="shared" si="5"/>
        <v>8871000</v>
      </c>
      <c r="F29" s="366">
        <f t="shared" si="5"/>
        <v>927825.6</v>
      </c>
      <c r="G29" s="364">
        <f t="shared" si="5"/>
        <v>3966160.5</v>
      </c>
      <c r="H29" s="366">
        <f t="shared" si="5"/>
        <v>8871000</v>
      </c>
      <c r="I29" s="41">
        <f t="shared" si="1"/>
        <v>-4904839.5</v>
      </c>
      <c r="J29" s="165">
        <f t="shared" si="2"/>
        <v>-0.55290716942847484</v>
      </c>
      <c r="K29" s="365">
        <f t="shared" si="5"/>
        <v>8871000</v>
      </c>
      <c r="L29" s="352"/>
      <c r="M29" s="35"/>
      <c r="N29" s="35"/>
      <c r="O29" s="35"/>
      <c r="P29" s="35"/>
      <c r="Q29" s="35"/>
      <c r="R29" s="35"/>
      <c r="S29" s="35"/>
      <c r="T29" s="35"/>
      <c r="U29" s="35"/>
      <c r="V29" s="35"/>
      <c r="W29" s="35"/>
    </row>
    <row r="30" spans="1:23" ht="11.25" customHeight="1" x14ac:dyDescent="0.25">
      <c r="A30" s="36" t="str">
        <f>'Org structure'!E25</f>
        <v>3.1 - Administration &amp; Support Services</v>
      </c>
      <c r="B30" s="368"/>
      <c r="C30" s="521">
        <v>0</v>
      </c>
      <c r="D30" s="522">
        <v>0</v>
      </c>
      <c r="E30" s="523">
        <v>0</v>
      </c>
      <c r="F30" s="524">
        <v>0</v>
      </c>
      <c r="G30" s="523">
        <v>0</v>
      </c>
      <c r="H30" s="523">
        <f t="shared" ref="H30:H36" si="6">E30/12*$X$1</f>
        <v>0</v>
      </c>
      <c r="I30" s="221">
        <f t="shared" si="1"/>
        <v>0</v>
      </c>
      <c r="J30" s="165" t="str">
        <f t="shared" si="2"/>
        <v/>
      </c>
      <c r="K30" s="525">
        <f t="shared" ref="K30:K36" si="7">E30</f>
        <v>0</v>
      </c>
      <c r="L30" s="352"/>
      <c r="M30" s="35"/>
      <c r="N30" s="35"/>
      <c r="O30" s="35"/>
      <c r="P30" s="35"/>
      <c r="Q30" s="35"/>
      <c r="R30" s="35"/>
      <c r="S30" s="35"/>
      <c r="T30" s="35"/>
      <c r="U30" s="35"/>
      <c r="V30" s="35"/>
      <c r="W30" s="35"/>
    </row>
    <row r="31" spans="1:23" ht="11.25" customHeight="1" x14ac:dyDescent="0.25">
      <c r="A31" s="36" t="str">
        <f>'Org structure'!E26</f>
        <v>3.2 - Human Resources</v>
      </c>
      <c r="B31" s="368"/>
      <c r="C31" s="521">
        <v>0</v>
      </c>
      <c r="D31" s="522">
        <v>0</v>
      </c>
      <c r="E31" s="523">
        <v>3325000</v>
      </c>
      <c r="F31" s="524">
        <v>0</v>
      </c>
      <c r="G31" s="523">
        <v>1950109.96</v>
      </c>
      <c r="H31" s="524">
        <f t="shared" si="6"/>
        <v>3325000</v>
      </c>
      <c r="I31" s="41">
        <f t="shared" si="1"/>
        <v>-1374890.04</v>
      </c>
      <c r="J31" s="165">
        <f t="shared" si="2"/>
        <v>-0.41350076390977447</v>
      </c>
      <c r="K31" s="525">
        <f t="shared" si="7"/>
        <v>3325000</v>
      </c>
      <c r="L31" s="352"/>
      <c r="M31" s="35"/>
      <c r="N31" s="35"/>
      <c r="O31" s="35"/>
      <c r="P31" s="35"/>
      <c r="Q31" s="35"/>
      <c r="R31" s="35"/>
      <c r="S31" s="35"/>
      <c r="T31" s="35"/>
      <c r="U31" s="35"/>
      <c r="V31" s="35"/>
      <c r="W31" s="35"/>
    </row>
    <row r="32" spans="1:23" ht="11.25" customHeight="1" x14ac:dyDescent="0.25">
      <c r="A32" s="36" t="str">
        <f>'Org structure'!E27</f>
        <v>3.3 - Information Communication Technology</v>
      </c>
      <c r="B32" s="368"/>
      <c r="C32" s="521">
        <v>0</v>
      </c>
      <c r="D32" s="522">
        <v>7062800</v>
      </c>
      <c r="E32" s="523">
        <v>5546000</v>
      </c>
      <c r="F32" s="524">
        <v>927825.6</v>
      </c>
      <c r="G32" s="523">
        <v>2016050.54</v>
      </c>
      <c r="H32" s="523">
        <f t="shared" si="6"/>
        <v>5546000</v>
      </c>
      <c r="I32" s="41">
        <f t="shared" si="1"/>
        <v>-3529949.46</v>
      </c>
      <c r="J32" s="165">
        <f t="shared" si="2"/>
        <v>-0.63648565813198699</v>
      </c>
      <c r="K32" s="525">
        <f t="shared" si="7"/>
        <v>5546000</v>
      </c>
      <c r="L32" s="352"/>
      <c r="M32" s="35"/>
      <c r="N32" s="35"/>
      <c r="O32" s="35"/>
      <c r="P32" s="35"/>
      <c r="Q32" s="35"/>
      <c r="R32" s="35"/>
      <c r="S32" s="35"/>
      <c r="T32" s="35"/>
      <c r="U32" s="35"/>
      <c r="V32" s="35"/>
      <c r="W32" s="35"/>
    </row>
    <row r="33" spans="1:23" ht="11.25" customHeight="1" x14ac:dyDescent="0.25">
      <c r="A33" s="36" t="str">
        <f>'Org structure'!E28</f>
        <v>3.4 - IDP/ PMS/ SDBIP</v>
      </c>
      <c r="B33" s="368"/>
      <c r="C33" s="521">
        <v>0</v>
      </c>
      <c r="D33" s="522">
        <v>0</v>
      </c>
      <c r="E33" s="523">
        <v>0</v>
      </c>
      <c r="F33" s="524">
        <v>0</v>
      </c>
      <c r="G33" s="523">
        <v>0</v>
      </c>
      <c r="H33" s="524">
        <f t="shared" si="6"/>
        <v>0</v>
      </c>
      <c r="I33" s="41">
        <f t="shared" si="1"/>
        <v>0</v>
      </c>
      <c r="J33" s="165" t="str">
        <f t="shared" si="2"/>
        <v/>
      </c>
      <c r="K33" s="525">
        <f t="shared" si="7"/>
        <v>0</v>
      </c>
      <c r="L33" s="352"/>
      <c r="M33" s="35"/>
      <c r="N33" s="35"/>
      <c r="O33" s="35"/>
      <c r="P33" s="35"/>
      <c r="Q33" s="35"/>
      <c r="R33" s="35"/>
      <c r="S33" s="35"/>
      <c r="T33" s="35"/>
      <c r="U33" s="35"/>
      <c r="V33" s="35"/>
      <c r="W33" s="35"/>
    </row>
    <row r="34" spans="1:23" ht="11.25" customHeight="1" x14ac:dyDescent="0.25">
      <c r="A34" s="36" t="str">
        <f>'Org structure'!E29</f>
        <v>3.5 - Communications &amp; Media Relations</v>
      </c>
      <c r="B34" s="368"/>
      <c r="C34" s="521">
        <v>0</v>
      </c>
      <c r="D34" s="522">
        <v>0</v>
      </c>
      <c r="E34" s="523">
        <v>0</v>
      </c>
      <c r="F34" s="524">
        <v>0</v>
      </c>
      <c r="G34" s="523">
        <v>0</v>
      </c>
      <c r="H34" s="524">
        <f t="shared" si="6"/>
        <v>0</v>
      </c>
      <c r="I34" s="41">
        <f t="shared" si="1"/>
        <v>0</v>
      </c>
      <c r="J34" s="165" t="str">
        <f t="shared" si="2"/>
        <v/>
      </c>
      <c r="K34" s="525">
        <f t="shared" si="7"/>
        <v>0</v>
      </c>
      <c r="L34" s="352"/>
      <c r="M34" s="35"/>
      <c r="N34" s="35"/>
      <c r="O34" s="35"/>
      <c r="P34" s="35"/>
      <c r="Q34" s="35"/>
      <c r="R34" s="35"/>
      <c r="S34" s="35"/>
      <c r="T34" s="35"/>
      <c r="U34" s="35"/>
      <c r="V34" s="35"/>
      <c r="W34" s="35"/>
    </row>
    <row r="35" spans="1:23" ht="11.25" customHeight="1" x14ac:dyDescent="0.25">
      <c r="A35" s="36" t="str">
        <f>'Org structure'!E30</f>
        <v>3.6 - Local Economic Development</v>
      </c>
      <c r="B35" s="368"/>
      <c r="C35" s="521">
        <v>0</v>
      </c>
      <c r="D35" s="522">
        <v>0</v>
      </c>
      <c r="E35" s="523">
        <v>0</v>
      </c>
      <c r="F35" s="524">
        <v>0</v>
      </c>
      <c r="G35" s="523">
        <v>0</v>
      </c>
      <c r="H35" s="524">
        <f t="shared" si="6"/>
        <v>0</v>
      </c>
      <c r="I35" s="41">
        <f t="shared" si="1"/>
        <v>0</v>
      </c>
      <c r="J35" s="165" t="str">
        <f t="shared" si="2"/>
        <v/>
      </c>
      <c r="K35" s="525">
        <f t="shared" si="7"/>
        <v>0</v>
      </c>
      <c r="L35" s="352"/>
      <c r="M35" s="35"/>
      <c r="N35" s="35"/>
      <c r="O35" s="35"/>
      <c r="P35" s="35"/>
      <c r="Q35" s="35"/>
      <c r="R35" s="35"/>
      <c r="S35" s="35"/>
      <c r="T35" s="35"/>
      <c r="U35" s="35"/>
      <c r="V35" s="35"/>
      <c r="W35" s="35"/>
    </row>
    <row r="36" spans="1:23" ht="11.25" customHeight="1" x14ac:dyDescent="0.25">
      <c r="A36" s="36" t="str">
        <f>'Org structure'!E31</f>
        <v>3.7 - Legal Services</v>
      </c>
      <c r="B36" s="368"/>
      <c r="C36" s="521">
        <v>0</v>
      </c>
      <c r="D36" s="522">
        <v>0</v>
      </c>
      <c r="E36" s="523">
        <v>0</v>
      </c>
      <c r="F36" s="524">
        <v>0</v>
      </c>
      <c r="G36" s="523">
        <v>0</v>
      </c>
      <c r="H36" s="524">
        <f t="shared" si="6"/>
        <v>0</v>
      </c>
      <c r="I36" s="41">
        <f t="shared" si="1"/>
        <v>0</v>
      </c>
      <c r="J36" s="165" t="str">
        <f t="shared" si="2"/>
        <v/>
      </c>
      <c r="K36" s="525">
        <f t="shared" si="7"/>
        <v>0</v>
      </c>
      <c r="L36" s="352"/>
      <c r="M36" s="35"/>
      <c r="N36" s="35"/>
      <c r="O36" s="35"/>
      <c r="P36" s="35"/>
      <c r="Q36" s="35"/>
      <c r="R36" s="35"/>
      <c r="S36" s="35"/>
      <c r="T36" s="35"/>
      <c r="U36" s="35"/>
      <c r="V36" s="35"/>
      <c r="W36" s="35"/>
    </row>
    <row r="37" spans="1:23" ht="11.25" customHeight="1" x14ac:dyDescent="0.25">
      <c r="A37" s="36">
        <f>'Org structure'!E32</f>
        <v>0</v>
      </c>
      <c r="B37" s="368"/>
      <c r="C37" s="521"/>
      <c r="D37" s="522"/>
      <c r="E37" s="523"/>
      <c r="F37" s="524"/>
      <c r="G37" s="523"/>
      <c r="H37" s="524"/>
      <c r="I37" s="41">
        <f t="shared" si="1"/>
        <v>0</v>
      </c>
      <c r="J37" s="165" t="str">
        <f t="shared" si="2"/>
        <v/>
      </c>
      <c r="K37" s="525"/>
      <c r="L37" s="352"/>
      <c r="M37" s="35"/>
      <c r="N37" s="35"/>
      <c r="O37" s="35"/>
      <c r="P37" s="35"/>
      <c r="Q37" s="35"/>
      <c r="R37" s="35"/>
      <c r="S37" s="35"/>
      <c r="T37" s="35"/>
      <c r="U37" s="35"/>
      <c r="V37" s="35"/>
      <c r="W37" s="35"/>
    </row>
    <row r="38" spans="1:23" ht="11.25" customHeight="1" x14ac:dyDescent="0.25">
      <c r="A38" s="36">
        <f>'Org structure'!E33</f>
        <v>0</v>
      </c>
      <c r="B38" s="368"/>
      <c r="C38" s="521"/>
      <c r="D38" s="522"/>
      <c r="E38" s="523"/>
      <c r="F38" s="524"/>
      <c r="G38" s="523"/>
      <c r="H38" s="524"/>
      <c r="I38" s="41">
        <f t="shared" si="1"/>
        <v>0</v>
      </c>
      <c r="J38" s="165" t="str">
        <f t="shared" si="2"/>
        <v/>
      </c>
      <c r="K38" s="525"/>
      <c r="L38" s="352"/>
      <c r="M38" s="35"/>
      <c r="N38" s="35"/>
      <c r="O38" s="35"/>
      <c r="P38" s="35"/>
      <c r="Q38" s="35"/>
      <c r="R38" s="35"/>
      <c r="S38" s="35"/>
      <c r="T38" s="35"/>
      <c r="U38" s="35"/>
      <c r="V38" s="35"/>
      <c r="W38" s="35"/>
    </row>
    <row r="39" spans="1:23" ht="11.25" customHeight="1" x14ac:dyDescent="0.25">
      <c r="A39" s="36">
        <f>'Org structure'!E34</f>
        <v>0</v>
      </c>
      <c r="B39" s="368"/>
      <c r="C39" s="521"/>
      <c r="D39" s="522"/>
      <c r="E39" s="523"/>
      <c r="F39" s="524"/>
      <c r="G39" s="523"/>
      <c r="H39" s="524"/>
      <c r="I39" s="41">
        <f t="shared" si="1"/>
        <v>0</v>
      </c>
      <c r="J39" s="165" t="str">
        <f t="shared" si="2"/>
        <v/>
      </c>
      <c r="K39" s="525"/>
      <c r="L39" s="352"/>
      <c r="M39" s="35"/>
      <c r="N39" s="35"/>
      <c r="O39" s="35"/>
      <c r="P39" s="35"/>
      <c r="Q39" s="35"/>
      <c r="R39" s="35"/>
      <c r="S39" s="35"/>
      <c r="T39" s="35"/>
      <c r="U39" s="35"/>
      <c r="V39" s="35"/>
      <c r="W39" s="35"/>
    </row>
    <row r="40" spans="1:23" ht="11.25" customHeight="1" x14ac:dyDescent="0.25">
      <c r="A40" s="88" t="str">
        <f>'Org structure'!A5</f>
        <v>Vote 4 - Financial Services</v>
      </c>
      <c r="B40" s="363"/>
      <c r="C40" s="397">
        <f t="shared" ref="C40:K40" si="8">SUM(C41:C50)</f>
        <v>0</v>
      </c>
      <c r="D40" s="367">
        <f t="shared" si="8"/>
        <v>800000</v>
      </c>
      <c r="E40" s="364">
        <f t="shared" si="8"/>
        <v>1520000</v>
      </c>
      <c r="F40" s="366">
        <f t="shared" si="8"/>
        <v>741857.36</v>
      </c>
      <c r="G40" s="364">
        <f t="shared" si="8"/>
        <v>1247175.8799999999</v>
      </c>
      <c r="H40" s="366">
        <f t="shared" si="8"/>
        <v>1520000</v>
      </c>
      <c r="I40" s="41">
        <f t="shared" si="1"/>
        <v>-272824.12000000011</v>
      </c>
      <c r="J40" s="165">
        <f t="shared" si="2"/>
        <v>-0.17948955263157901</v>
      </c>
      <c r="K40" s="365">
        <f t="shared" si="8"/>
        <v>1520000</v>
      </c>
      <c r="L40" s="352"/>
      <c r="M40" s="35"/>
      <c r="N40" s="35"/>
      <c r="O40" s="35"/>
      <c r="P40" s="35"/>
      <c r="Q40" s="35"/>
      <c r="R40" s="35"/>
      <c r="S40" s="35"/>
      <c r="T40" s="35"/>
      <c r="U40" s="35"/>
      <c r="V40" s="35"/>
      <c r="W40" s="35"/>
    </row>
    <row r="41" spans="1:23" ht="11.25" customHeight="1" x14ac:dyDescent="0.25">
      <c r="A41" s="36" t="str">
        <f>'Org structure'!E36</f>
        <v>4.1 - Administration</v>
      </c>
      <c r="B41" s="368"/>
      <c r="C41" s="521">
        <v>0</v>
      </c>
      <c r="D41" s="522">
        <v>0</v>
      </c>
      <c r="E41" s="523">
        <v>0</v>
      </c>
      <c r="F41" s="524">
        <v>0</v>
      </c>
      <c r="G41" s="523">
        <v>0</v>
      </c>
      <c r="H41" s="524">
        <f t="shared" ref="H41:H44" si="9">E41/12*$X$1</f>
        <v>0</v>
      </c>
      <c r="I41" s="41">
        <f t="shared" si="1"/>
        <v>0</v>
      </c>
      <c r="J41" s="165" t="str">
        <f t="shared" si="2"/>
        <v/>
      </c>
      <c r="K41" s="525">
        <f>E41</f>
        <v>0</v>
      </c>
      <c r="L41" s="352"/>
      <c r="M41" s="35"/>
      <c r="N41" s="35"/>
      <c r="O41" s="35"/>
      <c r="P41" s="35"/>
      <c r="Q41" s="35"/>
      <c r="R41" s="35"/>
      <c r="S41" s="35"/>
      <c r="T41" s="35"/>
      <c r="U41" s="35"/>
      <c r="V41" s="35"/>
      <c r="W41" s="35"/>
    </row>
    <row r="42" spans="1:23" ht="11.25" customHeight="1" x14ac:dyDescent="0.25">
      <c r="A42" s="36" t="str">
        <f>'Org structure'!E37</f>
        <v>4.2 - Revenue</v>
      </c>
      <c r="B42" s="368"/>
      <c r="C42" s="521">
        <v>0</v>
      </c>
      <c r="D42" s="522">
        <v>0</v>
      </c>
      <c r="E42" s="523">
        <v>220000</v>
      </c>
      <c r="F42" s="524">
        <v>0</v>
      </c>
      <c r="G42" s="523">
        <v>0</v>
      </c>
      <c r="H42" s="524">
        <f t="shared" si="9"/>
        <v>220000</v>
      </c>
      <c r="I42" s="41">
        <f t="shared" si="1"/>
        <v>-220000</v>
      </c>
      <c r="J42" s="165">
        <f t="shared" si="2"/>
        <v>-1</v>
      </c>
      <c r="K42" s="525">
        <f>E42</f>
        <v>220000</v>
      </c>
      <c r="L42" s="352"/>
      <c r="M42" s="35"/>
      <c r="N42" s="35"/>
      <c r="O42" s="35"/>
      <c r="P42" s="35"/>
      <c r="Q42" s="35"/>
      <c r="R42" s="35"/>
      <c r="S42" s="35"/>
      <c r="T42" s="35"/>
      <c r="U42" s="35"/>
      <c r="V42" s="35"/>
      <c r="W42" s="35"/>
    </row>
    <row r="43" spans="1:23" ht="11.25" customHeight="1" x14ac:dyDescent="0.25">
      <c r="A43" s="36" t="str">
        <f>'Org structure'!E38</f>
        <v>4.3 - Financial Planning</v>
      </c>
      <c r="B43" s="368"/>
      <c r="C43" s="521">
        <v>0</v>
      </c>
      <c r="D43" s="522">
        <v>800000</v>
      </c>
      <c r="E43" s="523">
        <v>1300000</v>
      </c>
      <c r="F43" s="524">
        <v>741857.36</v>
      </c>
      <c r="G43" s="523">
        <v>1247175.8799999999</v>
      </c>
      <c r="H43" s="524">
        <f t="shared" si="9"/>
        <v>1300000</v>
      </c>
      <c r="I43" s="41">
        <f t="shared" si="1"/>
        <v>-52824.120000000112</v>
      </c>
      <c r="J43" s="165">
        <f t="shared" si="2"/>
        <v>-4.0633938461538545E-2</v>
      </c>
      <c r="K43" s="525">
        <f>E43</f>
        <v>1300000</v>
      </c>
      <c r="L43" s="352"/>
      <c r="M43" s="35"/>
      <c r="N43" s="35"/>
      <c r="O43" s="35"/>
      <c r="P43" s="35"/>
      <c r="Q43" s="35"/>
      <c r="R43" s="35"/>
      <c r="S43" s="35"/>
      <c r="T43" s="35"/>
      <c r="U43" s="35"/>
      <c r="V43" s="35"/>
      <c r="W43" s="35"/>
    </row>
    <row r="44" spans="1:23" ht="11.25" customHeight="1" x14ac:dyDescent="0.25">
      <c r="A44" s="36" t="str">
        <f>'Org structure'!E39</f>
        <v>4.4 - Supply Chain Management</v>
      </c>
      <c r="B44" s="368"/>
      <c r="C44" s="521">
        <v>0</v>
      </c>
      <c r="D44" s="522">
        <v>0</v>
      </c>
      <c r="E44" s="523">
        <v>0</v>
      </c>
      <c r="F44" s="524">
        <v>0</v>
      </c>
      <c r="G44" s="523">
        <v>0</v>
      </c>
      <c r="H44" s="524">
        <f t="shared" si="9"/>
        <v>0</v>
      </c>
      <c r="I44" s="41">
        <f t="shared" si="1"/>
        <v>0</v>
      </c>
      <c r="J44" s="165" t="str">
        <f t="shared" si="2"/>
        <v/>
      </c>
      <c r="K44" s="525">
        <f>E44</f>
        <v>0</v>
      </c>
      <c r="L44" s="352"/>
      <c r="M44" s="35"/>
      <c r="N44" s="35"/>
      <c r="O44" s="35"/>
      <c r="P44" s="35"/>
      <c r="Q44" s="35"/>
      <c r="R44" s="35"/>
      <c r="S44" s="35"/>
      <c r="T44" s="35"/>
      <c r="U44" s="35"/>
      <c r="V44" s="35"/>
      <c r="W44" s="35"/>
    </row>
    <row r="45" spans="1:23" ht="11.25" customHeight="1" x14ac:dyDescent="0.25">
      <c r="A45" s="36">
        <f>'Org structure'!E40</f>
        <v>0</v>
      </c>
      <c r="B45" s="368"/>
      <c r="C45" s="521"/>
      <c r="D45" s="522"/>
      <c r="E45" s="523"/>
      <c r="F45" s="524"/>
      <c r="G45" s="523"/>
      <c r="H45" s="524"/>
      <c r="I45" s="41">
        <f t="shared" si="1"/>
        <v>0</v>
      </c>
      <c r="J45" s="165" t="str">
        <f t="shared" si="2"/>
        <v/>
      </c>
      <c r="K45" s="525"/>
      <c r="L45" s="352"/>
      <c r="M45" s="35"/>
      <c r="N45" s="35"/>
      <c r="O45" s="35"/>
      <c r="P45" s="35"/>
      <c r="Q45" s="35"/>
      <c r="R45" s="35"/>
      <c r="S45" s="35"/>
      <c r="T45" s="35"/>
      <c r="U45" s="35"/>
      <c r="V45" s="35"/>
      <c r="W45" s="35"/>
    </row>
    <row r="46" spans="1:23" ht="11.25" customHeight="1" x14ac:dyDescent="0.25">
      <c r="A46" s="36">
        <f>'Org structure'!E41</f>
        <v>0</v>
      </c>
      <c r="B46" s="368"/>
      <c r="C46" s="521"/>
      <c r="D46" s="522"/>
      <c r="E46" s="523"/>
      <c r="F46" s="524"/>
      <c r="G46" s="523"/>
      <c r="H46" s="524"/>
      <c r="I46" s="41">
        <f t="shared" si="1"/>
        <v>0</v>
      </c>
      <c r="J46" s="165" t="str">
        <f t="shared" si="2"/>
        <v/>
      </c>
      <c r="K46" s="525"/>
      <c r="L46" s="352"/>
      <c r="M46" s="35"/>
      <c r="N46" s="35"/>
      <c r="O46" s="35"/>
      <c r="P46" s="35"/>
      <c r="Q46" s="35"/>
      <c r="R46" s="35"/>
      <c r="S46" s="35"/>
      <c r="T46" s="35"/>
      <c r="U46" s="35"/>
      <c r="V46" s="35"/>
      <c r="W46" s="35"/>
    </row>
    <row r="47" spans="1:23" ht="11.25" customHeight="1" x14ac:dyDescent="0.25">
      <c r="A47" s="36">
        <f>'Org structure'!E42</f>
        <v>0</v>
      </c>
      <c r="B47" s="368"/>
      <c r="C47" s="521"/>
      <c r="D47" s="522"/>
      <c r="E47" s="523"/>
      <c r="F47" s="524"/>
      <c r="G47" s="523"/>
      <c r="H47" s="524"/>
      <c r="I47" s="41">
        <f t="shared" si="1"/>
        <v>0</v>
      </c>
      <c r="J47" s="165" t="str">
        <f t="shared" si="2"/>
        <v/>
      </c>
      <c r="K47" s="525"/>
      <c r="L47" s="352"/>
      <c r="M47" s="35"/>
      <c r="N47" s="35"/>
      <c r="O47" s="35"/>
      <c r="P47" s="35"/>
      <c r="Q47" s="35"/>
      <c r="R47" s="35"/>
      <c r="S47" s="35"/>
      <c r="T47" s="35"/>
      <c r="U47" s="35"/>
      <c r="V47" s="35"/>
      <c r="W47" s="35"/>
    </row>
    <row r="48" spans="1:23" ht="11.25" customHeight="1" x14ac:dyDescent="0.25">
      <c r="A48" s="36">
        <f>'Org structure'!E43</f>
        <v>0</v>
      </c>
      <c r="B48" s="368"/>
      <c r="C48" s="521"/>
      <c r="D48" s="522"/>
      <c r="E48" s="523"/>
      <c r="F48" s="524"/>
      <c r="G48" s="523"/>
      <c r="H48" s="524"/>
      <c r="I48" s="41">
        <f t="shared" si="1"/>
        <v>0</v>
      </c>
      <c r="J48" s="165" t="str">
        <f t="shared" si="2"/>
        <v/>
      </c>
      <c r="K48" s="525"/>
      <c r="L48" s="352"/>
      <c r="M48" s="35"/>
      <c r="N48" s="35"/>
      <c r="O48" s="35"/>
      <c r="P48" s="35"/>
      <c r="Q48" s="35"/>
      <c r="R48" s="35"/>
      <c r="S48" s="35"/>
      <c r="T48" s="35"/>
      <c r="U48" s="35"/>
      <c r="V48" s="35"/>
      <c r="W48" s="35"/>
    </row>
    <row r="49" spans="1:23" ht="11.25" customHeight="1" x14ac:dyDescent="0.25">
      <c r="A49" s="36">
        <f>'Org structure'!E44</f>
        <v>0</v>
      </c>
      <c r="B49" s="368"/>
      <c r="C49" s="521"/>
      <c r="D49" s="522"/>
      <c r="E49" s="523"/>
      <c r="F49" s="524"/>
      <c r="G49" s="523"/>
      <c r="H49" s="524"/>
      <c r="I49" s="41">
        <f t="shared" si="1"/>
        <v>0</v>
      </c>
      <c r="J49" s="165" t="str">
        <f t="shared" si="2"/>
        <v/>
      </c>
      <c r="K49" s="525"/>
      <c r="L49" s="352"/>
      <c r="M49" s="35"/>
      <c r="N49" s="35"/>
      <c r="O49" s="35"/>
      <c r="P49" s="35"/>
      <c r="Q49" s="35"/>
      <c r="R49" s="35"/>
      <c r="S49" s="35"/>
      <c r="T49" s="35"/>
      <c r="U49" s="35"/>
      <c r="V49" s="35"/>
      <c r="W49" s="35"/>
    </row>
    <row r="50" spans="1:23" ht="11.25" customHeight="1" x14ac:dyDescent="0.25">
      <c r="A50" s="36">
        <f>'Org structure'!E45</f>
        <v>0</v>
      </c>
      <c r="B50" s="368"/>
      <c r="C50" s="521"/>
      <c r="D50" s="522"/>
      <c r="E50" s="523"/>
      <c r="F50" s="524"/>
      <c r="G50" s="523"/>
      <c r="H50" s="524"/>
      <c r="I50" s="41">
        <f t="shared" si="1"/>
        <v>0</v>
      </c>
      <c r="J50" s="165" t="str">
        <f t="shared" si="2"/>
        <v/>
      </c>
      <c r="K50" s="525"/>
      <c r="L50" s="352"/>
      <c r="M50" s="35"/>
      <c r="N50" s="35"/>
      <c r="O50" s="35"/>
      <c r="P50" s="35"/>
      <c r="Q50" s="35"/>
      <c r="R50" s="35"/>
      <c r="S50" s="35"/>
      <c r="T50" s="35"/>
      <c r="U50" s="35"/>
      <c r="V50" s="35"/>
      <c r="W50" s="35"/>
    </row>
    <row r="51" spans="1:23" ht="11.25" customHeight="1" x14ac:dyDescent="0.25">
      <c r="A51" s="88" t="str">
        <f>'Org structure'!A6</f>
        <v>Vote 5 - Community Services</v>
      </c>
      <c r="B51" s="363"/>
      <c r="C51" s="397">
        <f>SUM(C52:C61)</f>
        <v>0</v>
      </c>
      <c r="D51" s="367">
        <f t="shared" ref="D51:K51" si="10">SUM(D52:D61)</f>
        <v>7806405</v>
      </c>
      <c r="E51" s="364">
        <f t="shared" si="10"/>
        <v>6486860</v>
      </c>
      <c r="F51" s="366">
        <f t="shared" si="10"/>
        <v>3550451.1399999997</v>
      </c>
      <c r="G51" s="364">
        <f t="shared" si="10"/>
        <v>7356201.5500000007</v>
      </c>
      <c r="H51" s="366">
        <f t="shared" si="10"/>
        <v>6486860</v>
      </c>
      <c r="I51" s="41">
        <f t="shared" si="1"/>
        <v>869341.55000000075</v>
      </c>
      <c r="J51" s="165">
        <f t="shared" si="2"/>
        <v>0.13401577188346916</v>
      </c>
      <c r="K51" s="365">
        <f t="shared" si="10"/>
        <v>6486860</v>
      </c>
      <c r="L51" s="352"/>
      <c r="M51" s="35"/>
      <c r="N51" s="35"/>
      <c r="O51" s="35"/>
      <c r="P51" s="35"/>
      <c r="Q51" s="35"/>
      <c r="R51" s="35"/>
      <c r="S51" s="35"/>
      <c r="T51" s="35"/>
      <c r="U51" s="35"/>
      <c r="V51" s="35"/>
      <c r="W51" s="35"/>
    </row>
    <row r="52" spans="1:23" ht="11.25" customHeight="1" x14ac:dyDescent="0.25">
      <c r="A52" s="36" t="str">
        <f>'Org structure'!E47</f>
        <v>5.1 - Administration &amp; Support Services</v>
      </c>
      <c r="B52" s="368"/>
      <c r="C52" s="521">
        <v>0</v>
      </c>
      <c r="D52" s="522">
        <v>0</v>
      </c>
      <c r="E52" s="523">
        <v>0</v>
      </c>
      <c r="F52" s="524">
        <v>0</v>
      </c>
      <c r="G52" s="523">
        <v>0</v>
      </c>
      <c r="H52" s="524">
        <f t="shared" ref="H52:H60" si="11">E52/12*$X$1</f>
        <v>0</v>
      </c>
      <c r="I52" s="41">
        <f t="shared" si="1"/>
        <v>0</v>
      </c>
      <c r="J52" s="165" t="str">
        <f t="shared" si="2"/>
        <v/>
      </c>
      <c r="K52" s="525">
        <f t="shared" ref="K52:K59" si="12">E52</f>
        <v>0</v>
      </c>
      <c r="L52" s="352"/>
      <c r="M52" s="35"/>
      <c r="N52" s="35"/>
      <c r="O52" s="35"/>
      <c r="P52" s="35"/>
      <c r="Q52" s="35"/>
      <c r="R52" s="35"/>
      <c r="S52" s="35"/>
      <c r="T52" s="35"/>
      <c r="U52" s="35"/>
      <c r="V52" s="35"/>
      <c r="W52" s="35"/>
    </row>
    <row r="53" spans="1:23" ht="11.25" customHeight="1" x14ac:dyDescent="0.25">
      <c r="A53" s="36" t="str">
        <f>'Org structure'!E48</f>
        <v>5.2 - Human Settlements &amp; Housing</v>
      </c>
      <c r="B53" s="368"/>
      <c r="C53" s="521">
        <v>0</v>
      </c>
      <c r="D53" s="522">
        <v>0</v>
      </c>
      <c r="E53" s="523">
        <v>0</v>
      </c>
      <c r="F53" s="524">
        <v>0</v>
      </c>
      <c r="G53" s="523">
        <v>0</v>
      </c>
      <c r="H53" s="524">
        <f t="shared" si="11"/>
        <v>0</v>
      </c>
      <c r="I53" s="41">
        <f t="shared" si="1"/>
        <v>0</v>
      </c>
      <c r="J53" s="165" t="str">
        <f t="shared" si="2"/>
        <v/>
      </c>
      <c r="K53" s="525">
        <f t="shared" si="12"/>
        <v>0</v>
      </c>
      <c r="L53" s="352"/>
      <c r="M53" s="35"/>
      <c r="N53" s="35"/>
      <c r="O53" s="35"/>
      <c r="P53" s="35"/>
      <c r="Q53" s="35"/>
      <c r="R53" s="35"/>
      <c r="S53" s="35"/>
      <c r="T53" s="35"/>
      <c r="U53" s="35"/>
      <c r="V53" s="35"/>
      <c r="W53" s="35"/>
    </row>
    <row r="54" spans="1:23" ht="11.25" customHeight="1" x14ac:dyDescent="0.25">
      <c r="A54" s="36" t="str">
        <f>'Org structure'!E49</f>
        <v>5.3 - Libraries</v>
      </c>
      <c r="B54" s="368"/>
      <c r="C54" s="521">
        <v>0</v>
      </c>
      <c r="D54" s="522">
        <v>45000</v>
      </c>
      <c r="E54" s="523">
        <v>6115001</v>
      </c>
      <c r="F54" s="524">
        <v>3550451.1399999997</v>
      </c>
      <c r="G54" s="523">
        <v>7356201.5500000007</v>
      </c>
      <c r="H54" s="524">
        <f t="shared" si="11"/>
        <v>6115001</v>
      </c>
      <c r="I54" s="41">
        <f t="shared" si="1"/>
        <v>1241200.5500000007</v>
      </c>
      <c r="J54" s="165">
        <f t="shared" si="2"/>
        <v>0.20297634456641966</v>
      </c>
      <c r="K54" s="525">
        <f t="shared" si="12"/>
        <v>6115001</v>
      </c>
      <c r="L54" s="352"/>
      <c r="M54" s="35"/>
      <c r="N54" s="35"/>
      <c r="O54" s="35"/>
      <c r="P54" s="35"/>
      <c r="Q54" s="35"/>
      <c r="R54" s="35"/>
      <c r="S54" s="35"/>
      <c r="T54" s="35"/>
      <c r="U54" s="35"/>
      <c r="V54" s="35"/>
      <c r="W54" s="35"/>
    </row>
    <row r="55" spans="1:23" ht="11.25" customHeight="1" x14ac:dyDescent="0.25">
      <c r="A55" s="36" t="str">
        <f>'Org structure'!E50</f>
        <v>5.4 - Fire Brigade &amp; Disaster Risk Management</v>
      </c>
      <c r="B55" s="368"/>
      <c r="C55" s="521">
        <v>0</v>
      </c>
      <c r="D55" s="522">
        <v>0</v>
      </c>
      <c r="E55" s="523">
        <v>0</v>
      </c>
      <c r="F55" s="524">
        <v>0</v>
      </c>
      <c r="G55" s="523">
        <v>0</v>
      </c>
      <c r="H55" s="524">
        <f t="shared" si="11"/>
        <v>0</v>
      </c>
      <c r="I55" s="41">
        <f t="shared" si="1"/>
        <v>0</v>
      </c>
      <c r="J55" s="165" t="str">
        <f t="shared" si="2"/>
        <v/>
      </c>
      <c r="K55" s="525">
        <f t="shared" si="12"/>
        <v>0</v>
      </c>
      <c r="L55" s="352"/>
      <c r="M55" s="35"/>
      <c r="N55" s="35"/>
      <c r="O55" s="35"/>
      <c r="P55" s="35"/>
      <c r="Q55" s="35"/>
      <c r="R55" s="35"/>
      <c r="S55" s="35"/>
      <c r="T55" s="35"/>
      <c r="U55" s="35"/>
      <c r="V55" s="35"/>
      <c r="W55" s="35"/>
    </row>
    <row r="56" spans="1:23" ht="11.25" customHeight="1" x14ac:dyDescent="0.25">
      <c r="A56" s="36" t="str">
        <f>'Org structure'!E51</f>
        <v>5.5 - Traffic Services</v>
      </c>
      <c r="B56" s="368"/>
      <c r="C56" s="521">
        <v>0</v>
      </c>
      <c r="D56" s="522">
        <v>0</v>
      </c>
      <c r="E56" s="523">
        <v>102642</v>
      </c>
      <c r="F56" s="524">
        <v>0</v>
      </c>
      <c r="G56" s="523">
        <v>0</v>
      </c>
      <c r="H56" s="524">
        <f t="shared" si="11"/>
        <v>102642</v>
      </c>
      <c r="I56" s="41">
        <f t="shared" si="1"/>
        <v>-102642</v>
      </c>
      <c r="J56" s="165">
        <f t="shared" si="2"/>
        <v>-1</v>
      </c>
      <c r="K56" s="525">
        <f t="shared" si="12"/>
        <v>102642</v>
      </c>
      <c r="L56" s="352"/>
      <c r="M56" s="35"/>
      <c r="N56" s="35"/>
      <c r="O56" s="35"/>
      <c r="P56" s="35"/>
      <c r="Q56" s="35"/>
      <c r="R56" s="35"/>
      <c r="S56" s="35"/>
      <c r="T56" s="35"/>
      <c r="U56" s="35"/>
      <c r="V56" s="35"/>
      <c r="W56" s="35"/>
    </row>
    <row r="57" spans="1:23" ht="11.25" customHeight="1" x14ac:dyDescent="0.25">
      <c r="A57" s="36" t="str">
        <f>'Org structure'!E52</f>
        <v>5.6 - Municipal Halls and Resorts</v>
      </c>
      <c r="B57" s="368"/>
      <c r="C57" s="521">
        <v>0</v>
      </c>
      <c r="D57" s="522">
        <v>0</v>
      </c>
      <c r="E57" s="523">
        <v>0</v>
      </c>
      <c r="F57" s="524">
        <v>0</v>
      </c>
      <c r="G57" s="523">
        <v>0</v>
      </c>
      <c r="H57" s="524">
        <f t="shared" si="11"/>
        <v>0</v>
      </c>
      <c r="I57" s="41">
        <f t="shared" si="1"/>
        <v>0</v>
      </c>
      <c r="J57" s="165" t="str">
        <f t="shared" si="2"/>
        <v/>
      </c>
      <c r="K57" s="525">
        <f t="shared" si="12"/>
        <v>0</v>
      </c>
      <c r="L57" s="352"/>
      <c r="M57" s="35"/>
      <c r="N57" s="35"/>
      <c r="O57" s="35"/>
      <c r="P57" s="35"/>
      <c r="Q57" s="35"/>
      <c r="R57" s="35"/>
      <c r="S57" s="35"/>
      <c r="T57" s="35"/>
      <c r="U57" s="35"/>
      <c r="V57" s="35"/>
      <c r="W57" s="35"/>
    </row>
    <row r="58" spans="1:23" ht="11.25" customHeight="1" x14ac:dyDescent="0.25">
      <c r="A58" s="36" t="str">
        <f>'Org structure'!E53</f>
        <v>5.7 - Customer Care Services</v>
      </c>
      <c r="B58" s="368"/>
      <c r="C58" s="521">
        <v>0</v>
      </c>
      <c r="D58" s="522">
        <v>0</v>
      </c>
      <c r="E58" s="523">
        <v>0</v>
      </c>
      <c r="F58" s="524">
        <v>0</v>
      </c>
      <c r="G58" s="523">
        <v>0</v>
      </c>
      <c r="H58" s="524">
        <f t="shared" si="11"/>
        <v>0</v>
      </c>
      <c r="I58" s="41">
        <f t="shared" si="1"/>
        <v>0</v>
      </c>
      <c r="J58" s="165" t="str">
        <f t="shared" si="2"/>
        <v/>
      </c>
      <c r="K58" s="525">
        <f t="shared" si="12"/>
        <v>0</v>
      </c>
      <c r="L58" s="352"/>
      <c r="M58" s="35"/>
      <c r="N58" s="35"/>
      <c r="O58" s="35"/>
      <c r="P58" s="35"/>
      <c r="Q58" s="35"/>
      <c r="R58" s="35"/>
      <c r="S58" s="35"/>
      <c r="T58" s="35"/>
      <c r="U58" s="35"/>
      <c r="V58" s="35"/>
      <c r="W58" s="35"/>
    </row>
    <row r="59" spans="1:23" ht="11.25" customHeight="1" x14ac:dyDescent="0.25">
      <c r="A59" s="36" t="str">
        <f>'Org structure'!E54</f>
        <v>5.8 - Sports and Recreation</v>
      </c>
      <c r="B59" s="368"/>
      <c r="C59" s="521">
        <v>0</v>
      </c>
      <c r="D59" s="522">
        <v>7761405</v>
      </c>
      <c r="E59" s="523">
        <v>269217</v>
      </c>
      <c r="F59" s="524">
        <v>0</v>
      </c>
      <c r="G59" s="523">
        <v>0</v>
      </c>
      <c r="H59" s="524">
        <f t="shared" si="11"/>
        <v>269217</v>
      </c>
      <c r="I59" s="41">
        <f t="shared" si="1"/>
        <v>-269217</v>
      </c>
      <c r="J59" s="165">
        <f t="shared" si="2"/>
        <v>-1</v>
      </c>
      <c r="K59" s="525">
        <f t="shared" si="12"/>
        <v>269217</v>
      </c>
      <c r="L59" s="352"/>
      <c r="M59" s="35"/>
      <c r="N59" s="35"/>
      <c r="O59" s="35"/>
      <c r="P59" s="35"/>
      <c r="Q59" s="35"/>
      <c r="R59" s="35"/>
      <c r="S59" s="35"/>
      <c r="T59" s="35"/>
      <c r="U59" s="35"/>
      <c r="V59" s="35"/>
      <c r="W59" s="35"/>
    </row>
    <row r="60" spans="1:23" ht="11.25" customHeight="1" x14ac:dyDescent="0.25">
      <c r="A60" s="36" t="str">
        <f>'Org structure'!E55</f>
        <v>5.9 - Health</v>
      </c>
      <c r="B60" s="368"/>
      <c r="C60" s="521">
        <v>0</v>
      </c>
      <c r="D60" s="522">
        <v>0</v>
      </c>
      <c r="E60" s="523">
        <v>0</v>
      </c>
      <c r="F60" s="524">
        <v>0</v>
      </c>
      <c r="G60" s="523">
        <v>0</v>
      </c>
      <c r="H60" s="524">
        <f t="shared" si="11"/>
        <v>0</v>
      </c>
      <c r="I60" s="41">
        <f t="shared" si="1"/>
        <v>0</v>
      </c>
      <c r="J60" s="165" t="str">
        <f t="shared" si="2"/>
        <v/>
      </c>
      <c r="K60" s="525"/>
      <c r="L60" s="352"/>
      <c r="M60" s="35"/>
      <c r="N60" s="35"/>
      <c r="O60" s="35"/>
      <c r="P60" s="35"/>
      <c r="Q60" s="35"/>
      <c r="R60" s="35"/>
      <c r="S60" s="35"/>
      <c r="T60" s="35"/>
      <c r="U60" s="35"/>
      <c r="V60" s="35"/>
      <c r="W60" s="35"/>
    </row>
    <row r="61" spans="1:23" ht="11.25" customHeight="1" x14ac:dyDescent="0.25">
      <c r="A61" s="36">
        <f>'Org structure'!E56</f>
        <v>0</v>
      </c>
      <c r="B61" s="368"/>
      <c r="C61" s="521"/>
      <c r="D61" s="522"/>
      <c r="E61" s="523"/>
      <c r="F61" s="524"/>
      <c r="G61" s="523"/>
      <c r="H61" s="524"/>
      <c r="I61" s="41">
        <f t="shared" si="1"/>
        <v>0</v>
      </c>
      <c r="J61" s="165" t="str">
        <f t="shared" si="2"/>
        <v/>
      </c>
      <c r="K61" s="525"/>
      <c r="L61" s="352"/>
      <c r="M61" s="35"/>
      <c r="N61" s="35"/>
      <c r="O61" s="35"/>
      <c r="P61" s="35"/>
      <c r="Q61" s="35"/>
      <c r="R61" s="35"/>
      <c r="S61" s="35"/>
      <c r="T61" s="35"/>
      <c r="U61" s="35"/>
      <c r="V61" s="35"/>
      <c r="W61" s="35"/>
    </row>
    <row r="62" spans="1:23" ht="11.25" customHeight="1" x14ac:dyDescent="0.25">
      <c r="A62" s="88" t="str">
        <f>'Org structure'!A7</f>
        <v>Vote 6 - Technical Services</v>
      </c>
      <c r="B62" s="363"/>
      <c r="C62" s="397">
        <f>SUM(C63:C72)</f>
        <v>0</v>
      </c>
      <c r="D62" s="367">
        <f t="shared" ref="D62:K62" si="13">SUM(D63:D72)</f>
        <v>153150788</v>
      </c>
      <c r="E62" s="364">
        <f t="shared" si="13"/>
        <v>177484178</v>
      </c>
      <c r="F62" s="366">
        <f t="shared" si="13"/>
        <v>22223022.199999999</v>
      </c>
      <c r="G62" s="364">
        <f t="shared" si="13"/>
        <v>193013659.43000001</v>
      </c>
      <c r="H62" s="366">
        <f t="shared" si="13"/>
        <v>177484178</v>
      </c>
      <c r="I62" s="41">
        <f t="shared" si="1"/>
        <v>15529481.430000007</v>
      </c>
      <c r="J62" s="165">
        <f t="shared" si="2"/>
        <v>8.749783560988747E-2</v>
      </c>
      <c r="K62" s="365">
        <f t="shared" si="13"/>
        <v>177484178</v>
      </c>
      <c r="L62" s="352"/>
      <c r="M62" s="35"/>
      <c r="N62" s="35"/>
      <c r="O62" s="35"/>
      <c r="P62" s="35"/>
      <c r="Q62" s="35"/>
      <c r="R62" s="35"/>
      <c r="S62" s="35"/>
      <c r="T62" s="35"/>
      <c r="U62" s="35"/>
      <c r="V62" s="35"/>
      <c r="W62" s="35"/>
    </row>
    <row r="63" spans="1:23" ht="11.25" customHeight="1" x14ac:dyDescent="0.25">
      <c r="A63" s="36" t="str">
        <f>'Org structure'!E58</f>
        <v>6.1 - Public Works</v>
      </c>
      <c r="B63" s="368"/>
      <c r="C63" s="521">
        <v>0</v>
      </c>
      <c r="D63" s="522">
        <v>48090000</v>
      </c>
      <c r="E63" s="523">
        <v>43656258</v>
      </c>
      <c r="F63" s="524">
        <v>8507673.6400000006</v>
      </c>
      <c r="G63" s="523">
        <v>49616107.499999993</v>
      </c>
      <c r="H63" s="524">
        <f t="shared" ref="H63:H69" si="14">E63/12*$X$1</f>
        <v>43656258</v>
      </c>
      <c r="I63" s="41">
        <f t="shared" si="1"/>
        <v>5959849.4999999925</v>
      </c>
      <c r="J63" s="165">
        <f t="shared" si="2"/>
        <v>0.13651764427450452</v>
      </c>
      <c r="K63" s="525">
        <f t="shared" ref="K63:K69" si="15">E63</f>
        <v>43656258</v>
      </c>
      <c r="L63" s="352"/>
      <c r="M63" s="35"/>
      <c r="N63" s="35"/>
      <c r="O63" s="35"/>
      <c r="P63" s="35"/>
      <c r="Q63" s="35"/>
      <c r="R63" s="35"/>
      <c r="S63" s="35"/>
      <c r="T63" s="35"/>
      <c r="U63" s="35"/>
      <c r="V63" s="35"/>
      <c r="W63" s="35"/>
    </row>
    <row r="64" spans="1:23" ht="11.25" customHeight="1" x14ac:dyDescent="0.25">
      <c r="A64" s="36" t="str">
        <f>'Org structure'!E59</f>
        <v>6.2 - Cemetaries</v>
      </c>
      <c r="B64" s="368"/>
      <c r="C64" s="521">
        <v>0</v>
      </c>
      <c r="D64" s="522">
        <v>0</v>
      </c>
      <c r="E64" s="523">
        <v>0</v>
      </c>
      <c r="F64" s="524">
        <v>0</v>
      </c>
      <c r="G64" s="523">
        <v>0</v>
      </c>
      <c r="H64" s="524">
        <f t="shared" si="14"/>
        <v>0</v>
      </c>
      <c r="I64" s="41">
        <f t="shared" si="1"/>
        <v>0</v>
      </c>
      <c r="J64" s="165" t="str">
        <f t="shared" si="2"/>
        <v/>
      </c>
      <c r="K64" s="525">
        <f t="shared" si="15"/>
        <v>0</v>
      </c>
      <c r="L64" s="352"/>
      <c r="M64" s="35"/>
      <c r="N64" s="35"/>
      <c r="O64" s="35"/>
      <c r="P64" s="35"/>
      <c r="Q64" s="35"/>
      <c r="R64" s="35"/>
      <c r="S64" s="35"/>
      <c r="T64" s="35"/>
      <c r="U64" s="35"/>
      <c r="V64" s="35"/>
      <c r="W64" s="35"/>
    </row>
    <row r="65" spans="1:23" ht="11.25" customHeight="1" x14ac:dyDescent="0.25">
      <c r="A65" s="36" t="str">
        <f>'Org structure'!E60</f>
        <v>6.3 - Recreational Facilities</v>
      </c>
      <c r="B65" s="368"/>
      <c r="C65" s="521">
        <v>0</v>
      </c>
      <c r="D65" s="522">
        <v>0</v>
      </c>
      <c r="E65" s="523">
        <v>0</v>
      </c>
      <c r="F65" s="524">
        <v>0</v>
      </c>
      <c r="G65" s="523">
        <v>0</v>
      </c>
      <c r="H65" s="524">
        <f t="shared" si="14"/>
        <v>0</v>
      </c>
      <c r="I65" s="41">
        <f t="shared" si="1"/>
        <v>0</v>
      </c>
      <c r="J65" s="165" t="str">
        <f t="shared" si="2"/>
        <v/>
      </c>
      <c r="K65" s="525">
        <f t="shared" si="15"/>
        <v>0</v>
      </c>
      <c r="L65" s="352"/>
      <c r="M65" s="35"/>
      <c r="N65" s="35"/>
      <c r="O65" s="35"/>
      <c r="P65" s="35"/>
      <c r="Q65" s="35"/>
      <c r="R65" s="35"/>
      <c r="S65" s="35"/>
      <c r="T65" s="35"/>
      <c r="U65" s="35"/>
      <c r="V65" s="35"/>
      <c r="W65" s="35"/>
    </row>
    <row r="66" spans="1:23" ht="11.25" customHeight="1" x14ac:dyDescent="0.25">
      <c r="A66" s="36" t="str">
        <f>'Org structure'!E61</f>
        <v>6.4 - Refuse Removal</v>
      </c>
      <c r="B66" s="368"/>
      <c r="C66" s="521">
        <v>0</v>
      </c>
      <c r="D66" s="522">
        <v>4150000</v>
      </c>
      <c r="E66" s="523">
        <v>7238000</v>
      </c>
      <c r="F66" s="524">
        <v>6070021.2300000004</v>
      </c>
      <c r="G66" s="523">
        <v>14815768.210000001</v>
      </c>
      <c r="H66" s="524">
        <f t="shared" si="14"/>
        <v>7238000</v>
      </c>
      <c r="I66" s="41">
        <f t="shared" si="1"/>
        <v>7577768.2100000009</v>
      </c>
      <c r="J66" s="165">
        <f t="shared" si="2"/>
        <v>1.0469422782536613</v>
      </c>
      <c r="K66" s="525">
        <f t="shared" si="15"/>
        <v>7238000</v>
      </c>
      <c r="L66" s="352"/>
      <c r="M66" s="35"/>
      <c r="N66" s="35"/>
      <c r="O66" s="35"/>
      <c r="P66" s="35"/>
      <c r="Q66" s="35"/>
      <c r="R66" s="35"/>
      <c r="S66" s="35"/>
      <c r="T66" s="35"/>
      <c r="U66" s="35"/>
      <c r="V66" s="35"/>
      <c r="W66" s="35"/>
    </row>
    <row r="67" spans="1:23" ht="11.25" customHeight="1" x14ac:dyDescent="0.25">
      <c r="A67" s="36" t="str">
        <f>'Org structure'!E62</f>
        <v>6.5 - Sewerages</v>
      </c>
      <c r="B67" s="368"/>
      <c r="C67" s="521">
        <v>0</v>
      </c>
      <c r="D67" s="522">
        <v>29259400</v>
      </c>
      <c r="E67" s="523">
        <v>46428305</v>
      </c>
      <c r="F67" s="524">
        <v>252423.52</v>
      </c>
      <c r="G67" s="523">
        <v>52182771.169999994</v>
      </c>
      <c r="H67" s="524">
        <f t="shared" si="14"/>
        <v>46428305</v>
      </c>
      <c r="I67" s="41">
        <f t="shared" si="1"/>
        <v>5754466.1699999943</v>
      </c>
      <c r="J67" s="165">
        <f t="shared" si="2"/>
        <v>0.12394305951940296</v>
      </c>
      <c r="K67" s="525">
        <f t="shared" si="15"/>
        <v>46428305</v>
      </c>
      <c r="L67" s="352"/>
      <c r="M67" s="35"/>
      <c r="N67" s="35"/>
      <c r="O67" s="35"/>
      <c r="P67" s="35"/>
      <c r="Q67" s="35"/>
      <c r="R67" s="35"/>
      <c r="S67" s="35"/>
      <c r="T67" s="35"/>
      <c r="U67" s="35"/>
      <c r="V67" s="35"/>
      <c r="W67" s="35"/>
    </row>
    <row r="68" spans="1:23" ht="11.25" customHeight="1" x14ac:dyDescent="0.25">
      <c r="A68" s="36" t="str">
        <f>'Org structure'!E63</f>
        <v>6.6 - Electricity Management</v>
      </c>
      <c r="B68" s="368"/>
      <c r="C68" s="521">
        <v>0</v>
      </c>
      <c r="D68" s="522">
        <v>22130700</v>
      </c>
      <c r="E68" s="523">
        <v>29798792</v>
      </c>
      <c r="F68" s="524">
        <v>5201318.1800000006</v>
      </c>
      <c r="G68" s="523">
        <v>27087621.890000004</v>
      </c>
      <c r="H68" s="524">
        <f t="shared" si="14"/>
        <v>29798792</v>
      </c>
      <c r="I68" s="41">
        <f t="shared" si="1"/>
        <v>-2711170.1099999957</v>
      </c>
      <c r="J68" s="165">
        <f t="shared" si="2"/>
        <v>-9.098255090340561E-2</v>
      </c>
      <c r="K68" s="525">
        <f t="shared" si="15"/>
        <v>29798792</v>
      </c>
      <c r="L68" s="352"/>
      <c r="M68" s="35"/>
      <c r="N68" s="35"/>
      <c r="O68" s="35"/>
      <c r="P68" s="35"/>
      <c r="Q68" s="35"/>
      <c r="R68" s="35"/>
      <c r="S68" s="35"/>
      <c r="T68" s="35"/>
      <c r="U68" s="35"/>
      <c r="V68" s="35"/>
      <c r="W68" s="35"/>
    </row>
    <row r="69" spans="1:23" ht="11.25" customHeight="1" x14ac:dyDescent="0.25">
      <c r="A69" s="36" t="str">
        <f>'Org structure'!E64</f>
        <v>6.7 - Water Management</v>
      </c>
      <c r="B69" s="368"/>
      <c r="C69" s="521">
        <v>0</v>
      </c>
      <c r="D69" s="522">
        <v>49520688</v>
      </c>
      <c r="E69" s="523">
        <v>50362823</v>
      </c>
      <c r="F69" s="524">
        <v>2191585.63</v>
      </c>
      <c r="G69" s="523">
        <v>49311390.660000004</v>
      </c>
      <c r="H69" s="524">
        <f t="shared" si="14"/>
        <v>50362823</v>
      </c>
      <c r="I69" s="41">
        <f t="shared" si="1"/>
        <v>-1051432.3399999961</v>
      </c>
      <c r="J69" s="165">
        <f t="shared" si="2"/>
        <v>-2.0877152577408065E-2</v>
      </c>
      <c r="K69" s="525">
        <f t="shared" si="15"/>
        <v>50362823</v>
      </c>
      <c r="L69" s="352"/>
      <c r="M69" s="35"/>
      <c r="N69" s="35"/>
      <c r="O69" s="35"/>
      <c r="P69" s="35"/>
      <c r="Q69" s="35"/>
      <c r="R69" s="35"/>
      <c r="S69" s="35"/>
      <c r="T69" s="35"/>
      <c r="U69" s="35"/>
      <c r="V69" s="35"/>
      <c r="W69" s="35"/>
    </row>
    <row r="70" spans="1:23" ht="11.25" customHeight="1" x14ac:dyDescent="0.25">
      <c r="A70" s="36">
        <f>'Org structure'!E65</f>
        <v>0</v>
      </c>
      <c r="B70" s="368"/>
      <c r="C70" s="521"/>
      <c r="D70" s="522"/>
      <c r="E70" s="523"/>
      <c r="F70" s="524"/>
      <c r="G70" s="523"/>
      <c r="H70" s="524"/>
      <c r="I70" s="41">
        <f t="shared" si="1"/>
        <v>0</v>
      </c>
      <c r="J70" s="165" t="str">
        <f t="shared" si="2"/>
        <v/>
      </c>
      <c r="K70" s="525"/>
      <c r="L70" s="352"/>
      <c r="M70" s="35"/>
      <c r="N70" s="35"/>
      <c r="O70" s="35"/>
      <c r="P70" s="35"/>
      <c r="Q70" s="35"/>
      <c r="R70" s="35"/>
      <c r="S70" s="35"/>
      <c r="T70" s="35"/>
      <c r="U70" s="35"/>
      <c r="V70" s="35"/>
      <c r="W70" s="35"/>
    </row>
    <row r="71" spans="1:23" ht="11.25" customHeight="1" x14ac:dyDescent="0.25">
      <c r="A71" s="36">
        <f>'Org structure'!E66</f>
        <v>0</v>
      </c>
      <c r="B71" s="368"/>
      <c r="C71" s="521"/>
      <c r="D71" s="522"/>
      <c r="E71" s="523"/>
      <c r="F71" s="524"/>
      <c r="G71" s="523"/>
      <c r="H71" s="524"/>
      <c r="I71" s="41">
        <f t="shared" ref="I71:I134" si="16">G71-H71</f>
        <v>0</v>
      </c>
      <c r="J71" s="165" t="str">
        <f t="shared" ref="J71:J134" si="17">IF(I71=0,"",I71/H71)</f>
        <v/>
      </c>
      <c r="K71" s="525"/>
      <c r="L71" s="352"/>
      <c r="M71" s="35"/>
      <c r="N71" s="35"/>
      <c r="O71" s="35"/>
      <c r="P71" s="35"/>
      <c r="Q71" s="35"/>
      <c r="R71" s="35"/>
      <c r="S71" s="35"/>
      <c r="T71" s="35"/>
      <c r="U71" s="35"/>
      <c r="V71" s="35"/>
      <c r="W71" s="35"/>
    </row>
    <row r="72" spans="1:23" ht="11.25" customHeight="1" x14ac:dyDescent="0.25">
      <c r="A72" s="36">
        <f>'Org structure'!E67</f>
        <v>0</v>
      </c>
      <c r="B72" s="368"/>
      <c r="C72" s="521"/>
      <c r="D72" s="522"/>
      <c r="E72" s="523"/>
      <c r="F72" s="524"/>
      <c r="G72" s="523"/>
      <c r="H72" s="524"/>
      <c r="I72" s="41">
        <f t="shared" si="16"/>
        <v>0</v>
      </c>
      <c r="J72" s="165" t="str">
        <f t="shared" si="17"/>
        <v/>
      </c>
      <c r="K72" s="525"/>
      <c r="L72" s="352"/>
      <c r="M72" s="35"/>
      <c r="N72" s="35"/>
      <c r="O72" s="35"/>
      <c r="P72" s="35"/>
      <c r="Q72" s="35"/>
      <c r="R72" s="35"/>
      <c r="S72" s="35"/>
      <c r="T72" s="35"/>
      <c r="U72" s="35"/>
      <c r="V72" s="35"/>
      <c r="W72" s="35"/>
    </row>
    <row r="73" spans="1:23" ht="11.25" hidden="1" customHeight="1" x14ac:dyDescent="0.25">
      <c r="A73" s="88" t="str">
        <f>'Org structure'!A8</f>
        <v>Vote 7 - [NAME OF VOTE 7]</v>
      </c>
      <c r="B73" s="363"/>
      <c r="C73" s="397">
        <f t="shared" ref="C73:K73" si="18">SUM(C74:C83)</f>
        <v>0</v>
      </c>
      <c r="D73" s="367">
        <f t="shared" si="18"/>
        <v>0</v>
      </c>
      <c r="E73" s="364">
        <f t="shared" si="18"/>
        <v>0</v>
      </c>
      <c r="F73" s="366">
        <f t="shared" si="18"/>
        <v>0</v>
      </c>
      <c r="G73" s="364">
        <f t="shared" si="18"/>
        <v>0</v>
      </c>
      <c r="H73" s="366">
        <f t="shared" si="18"/>
        <v>0</v>
      </c>
      <c r="I73" s="41">
        <f t="shared" si="16"/>
        <v>0</v>
      </c>
      <c r="J73" s="165" t="str">
        <f t="shared" si="17"/>
        <v/>
      </c>
      <c r="K73" s="365">
        <f t="shared" si="18"/>
        <v>0</v>
      </c>
      <c r="L73" s="352"/>
      <c r="M73" s="35"/>
      <c r="N73" s="35"/>
      <c r="O73" s="35"/>
      <c r="P73" s="35"/>
      <c r="Q73" s="35"/>
      <c r="R73" s="35"/>
      <c r="S73" s="35"/>
      <c r="T73" s="35"/>
      <c r="U73" s="35"/>
      <c r="V73" s="35"/>
      <c r="W73" s="35"/>
    </row>
    <row r="74" spans="1:23" ht="11.25" hidden="1" customHeight="1" x14ac:dyDescent="0.25">
      <c r="A74" s="36" t="str">
        <f>'Org structure'!E69</f>
        <v>7.1 - [Name of sub-vote]</v>
      </c>
      <c r="B74" s="368"/>
      <c r="C74" s="521"/>
      <c r="D74" s="522"/>
      <c r="E74" s="523"/>
      <c r="F74" s="524"/>
      <c r="G74" s="523"/>
      <c r="H74" s="524"/>
      <c r="I74" s="41">
        <f t="shared" si="16"/>
        <v>0</v>
      </c>
      <c r="J74" s="165" t="str">
        <f t="shared" si="17"/>
        <v/>
      </c>
      <c r="K74" s="525"/>
      <c r="L74" s="352"/>
      <c r="M74" s="35"/>
      <c r="N74" s="35"/>
      <c r="O74" s="35"/>
      <c r="P74" s="35"/>
      <c r="Q74" s="35"/>
      <c r="R74" s="35"/>
      <c r="S74" s="35"/>
      <c r="T74" s="35"/>
      <c r="U74" s="35"/>
      <c r="V74" s="35"/>
      <c r="W74" s="35"/>
    </row>
    <row r="75" spans="1:23" ht="11.25" hidden="1" customHeight="1" x14ac:dyDescent="0.25">
      <c r="A75" s="36">
        <f>'Org structure'!E70</f>
        <v>0</v>
      </c>
      <c r="B75" s="368"/>
      <c r="C75" s="521"/>
      <c r="D75" s="522"/>
      <c r="E75" s="523"/>
      <c r="F75" s="524"/>
      <c r="G75" s="523"/>
      <c r="H75" s="524"/>
      <c r="I75" s="41">
        <f t="shared" si="16"/>
        <v>0</v>
      </c>
      <c r="J75" s="165" t="str">
        <f t="shared" si="17"/>
        <v/>
      </c>
      <c r="K75" s="525"/>
      <c r="L75" s="352"/>
      <c r="M75" s="35"/>
      <c r="N75" s="35"/>
      <c r="O75" s="35"/>
      <c r="P75" s="35"/>
      <c r="Q75" s="35"/>
      <c r="R75" s="35"/>
      <c r="S75" s="35"/>
      <c r="T75" s="35"/>
      <c r="U75" s="35"/>
      <c r="V75" s="35"/>
      <c r="W75" s="35"/>
    </row>
    <row r="76" spans="1:23" ht="11.25" hidden="1" customHeight="1" x14ac:dyDescent="0.25">
      <c r="A76" s="36">
        <f>'Org structure'!E71</f>
        <v>0</v>
      </c>
      <c r="B76" s="368"/>
      <c r="C76" s="521"/>
      <c r="D76" s="522"/>
      <c r="E76" s="523"/>
      <c r="F76" s="524"/>
      <c r="G76" s="523"/>
      <c r="H76" s="524"/>
      <c r="I76" s="41">
        <f t="shared" si="16"/>
        <v>0</v>
      </c>
      <c r="J76" s="165" t="str">
        <f t="shared" si="17"/>
        <v/>
      </c>
      <c r="K76" s="525"/>
      <c r="L76" s="352"/>
      <c r="M76" s="35"/>
      <c r="N76" s="35"/>
      <c r="O76" s="35"/>
      <c r="P76" s="35"/>
      <c r="Q76" s="35"/>
      <c r="R76" s="35"/>
      <c r="S76" s="35"/>
      <c r="T76" s="35"/>
      <c r="U76" s="35"/>
      <c r="V76" s="35"/>
      <c r="W76" s="35"/>
    </row>
    <row r="77" spans="1:23" ht="11.25" hidden="1" customHeight="1" x14ac:dyDescent="0.25">
      <c r="A77" s="36">
        <f>'Org structure'!E72</f>
        <v>0</v>
      </c>
      <c r="B77" s="368"/>
      <c r="C77" s="521"/>
      <c r="D77" s="522"/>
      <c r="E77" s="523"/>
      <c r="F77" s="524"/>
      <c r="G77" s="523"/>
      <c r="H77" s="524"/>
      <c r="I77" s="41">
        <f t="shared" si="16"/>
        <v>0</v>
      </c>
      <c r="J77" s="165" t="str">
        <f t="shared" si="17"/>
        <v/>
      </c>
      <c r="K77" s="525"/>
      <c r="L77" s="352"/>
      <c r="M77" s="35"/>
      <c r="N77" s="35"/>
      <c r="O77" s="35"/>
      <c r="P77" s="35"/>
      <c r="Q77" s="35"/>
      <c r="R77" s="35"/>
      <c r="S77" s="35"/>
      <c r="T77" s="35"/>
      <c r="U77" s="35"/>
      <c r="V77" s="35"/>
      <c r="W77" s="35"/>
    </row>
    <row r="78" spans="1:23" ht="11.25" hidden="1" customHeight="1" x14ac:dyDescent="0.25">
      <c r="A78" s="36">
        <f>'Org structure'!E73</f>
        <v>0</v>
      </c>
      <c r="B78" s="368"/>
      <c r="C78" s="521"/>
      <c r="D78" s="522"/>
      <c r="E78" s="523"/>
      <c r="F78" s="524"/>
      <c r="G78" s="523"/>
      <c r="H78" s="524"/>
      <c r="I78" s="41">
        <f t="shared" si="16"/>
        <v>0</v>
      </c>
      <c r="J78" s="165" t="str">
        <f t="shared" si="17"/>
        <v/>
      </c>
      <c r="K78" s="525"/>
      <c r="L78" s="352"/>
      <c r="M78" s="35"/>
      <c r="N78" s="35"/>
      <c r="O78" s="35"/>
      <c r="P78" s="35"/>
      <c r="Q78" s="35"/>
      <c r="R78" s="35"/>
      <c r="S78" s="35"/>
      <c r="T78" s="35"/>
      <c r="U78" s="35"/>
      <c r="V78" s="35"/>
      <c r="W78" s="35"/>
    </row>
    <row r="79" spans="1:23" ht="11.25" hidden="1" customHeight="1" x14ac:dyDescent="0.25">
      <c r="A79" s="36">
        <f>'Org structure'!E74</f>
        <v>0</v>
      </c>
      <c r="B79" s="368"/>
      <c r="C79" s="521"/>
      <c r="D79" s="522"/>
      <c r="E79" s="523"/>
      <c r="F79" s="524"/>
      <c r="G79" s="523"/>
      <c r="H79" s="524"/>
      <c r="I79" s="41">
        <f t="shared" si="16"/>
        <v>0</v>
      </c>
      <c r="J79" s="165" t="str">
        <f t="shared" si="17"/>
        <v/>
      </c>
      <c r="K79" s="525"/>
      <c r="L79" s="44"/>
      <c r="M79" s="37"/>
      <c r="N79" s="37"/>
      <c r="O79" s="37"/>
      <c r="P79" s="37"/>
      <c r="Q79" s="37"/>
      <c r="R79" s="37"/>
      <c r="S79" s="37"/>
      <c r="T79" s="37"/>
      <c r="U79" s="37"/>
      <c r="V79" s="37"/>
      <c r="W79" s="37"/>
    </row>
    <row r="80" spans="1:23" ht="11.25" hidden="1" customHeight="1" x14ac:dyDescent="0.25">
      <c r="A80" s="36">
        <f>'Org structure'!E75</f>
        <v>0</v>
      </c>
      <c r="B80" s="368"/>
      <c r="C80" s="521"/>
      <c r="D80" s="522"/>
      <c r="E80" s="523"/>
      <c r="F80" s="524"/>
      <c r="G80" s="523"/>
      <c r="H80" s="524"/>
      <c r="I80" s="41">
        <f t="shared" si="16"/>
        <v>0</v>
      </c>
      <c r="J80" s="165" t="str">
        <f t="shared" si="17"/>
        <v/>
      </c>
      <c r="K80" s="525"/>
      <c r="L80" s="44"/>
      <c r="M80" s="37"/>
      <c r="N80" s="37"/>
      <c r="O80" s="37"/>
      <c r="P80" s="37"/>
      <c r="Q80" s="37"/>
      <c r="R80" s="37"/>
      <c r="S80" s="37"/>
      <c r="T80" s="37"/>
      <c r="U80" s="37"/>
      <c r="V80" s="37"/>
      <c r="W80" s="37"/>
    </row>
    <row r="81" spans="1:23" ht="11.25" hidden="1" customHeight="1" x14ac:dyDescent="0.25">
      <c r="A81" s="36">
        <f>'Org structure'!E76</f>
        <v>0</v>
      </c>
      <c r="B81" s="368"/>
      <c r="C81" s="521"/>
      <c r="D81" s="522"/>
      <c r="E81" s="523"/>
      <c r="F81" s="524"/>
      <c r="G81" s="523"/>
      <c r="H81" s="524"/>
      <c r="I81" s="41">
        <f t="shared" si="16"/>
        <v>0</v>
      </c>
      <c r="J81" s="165" t="str">
        <f t="shared" si="17"/>
        <v/>
      </c>
      <c r="K81" s="525"/>
      <c r="L81" s="44"/>
      <c r="M81" s="37"/>
      <c r="N81" s="37"/>
      <c r="O81" s="37"/>
      <c r="P81" s="37"/>
      <c r="Q81" s="37"/>
      <c r="R81" s="37"/>
      <c r="S81" s="37"/>
      <c r="T81" s="37"/>
      <c r="U81" s="37"/>
      <c r="V81" s="37"/>
      <c r="W81" s="37"/>
    </row>
    <row r="82" spans="1:23" ht="11.25" hidden="1" customHeight="1" x14ac:dyDescent="0.25">
      <c r="A82" s="36">
        <f>'Org structure'!E77</f>
        <v>0</v>
      </c>
      <c r="B82" s="368"/>
      <c r="C82" s="521"/>
      <c r="D82" s="522"/>
      <c r="E82" s="523"/>
      <c r="F82" s="524"/>
      <c r="G82" s="523"/>
      <c r="H82" s="524"/>
      <c r="I82" s="41">
        <f t="shared" si="16"/>
        <v>0</v>
      </c>
      <c r="J82" s="165" t="str">
        <f t="shared" si="17"/>
        <v/>
      </c>
      <c r="K82" s="525"/>
      <c r="L82" s="44"/>
      <c r="M82" s="37"/>
      <c r="N82" s="37"/>
      <c r="O82" s="37"/>
      <c r="P82" s="37"/>
      <c r="Q82" s="37"/>
      <c r="R82" s="37"/>
      <c r="S82" s="37"/>
      <c r="T82" s="37"/>
      <c r="U82" s="37"/>
      <c r="V82" s="37"/>
      <c r="W82" s="37"/>
    </row>
    <row r="83" spans="1:23" ht="11.25" hidden="1" customHeight="1" x14ac:dyDescent="0.25">
      <c r="A83" s="36">
        <f>'Org structure'!E78</f>
        <v>0</v>
      </c>
      <c r="B83" s="368"/>
      <c r="C83" s="521"/>
      <c r="D83" s="522"/>
      <c r="E83" s="523"/>
      <c r="F83" s="524"/>
      <c r="G83" s="523"/>
      <c r="H83" s="524"/>
      <c r="I83" s="41">
        <f t="shared" si="16"/>
        <v>0</v>
      </c>
      <c r="J83" s="165" t="str">
        <f t="shared" si="17"/>
        <v/>
      </c>
      <c r="K83" s="525"/>
      <c r="L83" s="44"/>
      <c r="M83" s="37"/>
      <c r="N83" s="37"/>
      <c r="O83" s="37"/>
      <c r="P83" s="37"/>
      <c r="Q83" s="37"/>
      <c r="R83" s="37"/>
      <c r="S83" s="37"/>
      <c r="T83" s="37"/>
      <c r="U83" s="37"/>
      <c r="V83" s="37"/>
      <c r="W83" s="37"/>
    </row>
    <row r="84" spans="1:23" ht="11.25" hidden="1" customHeight="1" x14ac:dyDescent="0.25">
      <c r="A84" s="88" t="str">
        <f>'Org structure'!A9</f>
        <v>Vote 8 - [NAME OF VOTE 8]</v>
      </c>
      <c r="B84" s="368"/>
      <c r="C84" s="397">
        <f>SUM(C85:C94)</f>
        <v>0</v>
      </c>
      <c r="D84" s="367">
        <f t="shared" ref="D84:K84" si="19">SUM(D85:D94)</f>
        <v>0</v>
      </c>
      <c r="E84" s="364">
        <f t="shared" si="19"/>
        <v>0</v>
      </c>
      <c r="F84" s="366">
        <f t="shared" si="19"/>
        <v>0</v>
      </c>
      <c r="G84" s="364">
        <f t="shared" si="19"/>
        <v>0</v>
      </c>
      <c r="H84" s="366">
        <f t="shared" si="19"/>
        <v>0</v>
      </c>
      <c r="I84" s="41">
        <f t="shared" si="16"/>
        <v>0</v>
      </c>
      <c r="J84" s="165" t="str">
        <f t="shared" si="17"/>
        <v/>
      </c>
      <c r="K84" s="365">
        <f t="shared" si="19"/>
        <v>0</v>
      </c>
      <c r="L84" s="44"/>
      <c r="M84" s="37"/>
      <c r="N84" s="37"/>
      <c r="O84" s="37"/>
      <c r="P84" s="37"/>
      <c r="Q84" s="37"/>
      <c r="R84" s="37"/>
      <c r="S84" s="37"/>
      <c r="T84" s="37"/>
      <c r="U84" s="37"/>
      <c r="V84" s="37"/>
      <c r="W84" s="37"/>
    </row>
    <row r="85" spans="1:23" ht="11.25" hidden="1" customHeight="1" x14ac:dyDescent="0.25">
      <c r="A85" s="36" t="str">
        <f>'Org structure'!E80</f>
        <v>8.1 - [Name of sub-vote]</v>
      </c>
      <c r="B85" s="368"/>
      <c r="C85" s="521"/>
      <c r="D85" s="522"/>
      <c r="E85" s="523"/>
      <c r="F85" s="524"/>
      <c r="G85" s="523"/>
      <c r="H85" s="524"/>
      <c r="I85" s="41">
        <f t="shared" si="16"/>
        <v>0</v>
      </c>
      <c r="J85" s="165" t="str">
        <f t="shared" si="17"/>
        <v/>
      </c>
      <c r="K85" s="525"/>
      <c r="L85" s="44"/>
      <c r="M85" s="37"/>
      <c r="N85" s="37"/>
      <c r="O85" s="37"/>
      <c r="P85" s="37"/>
      <c r="Q85" s="37"/>
      <c r="R85" s="37"/>
      <c r="S85" s="37"/>
      <c r="T85" s="37"/>
      <c r="U85" s="37"/>
      <c r="V85" s="37"/>
      <c r="W85" s="37"/>
    </row>
    <row r="86" spans="1:23" ht="11.25" hidden="1" customHeight="1" x14ac:dyDescent="0.25">
      <c r="A86" s="36">
        <f>'Org structure'!E81</f>
        <v>0</v>
      </c>
      <c r="B86" s="368"/>
      <c r="C86" s="521"/>
      <c r="D86" s="522"/>
      <c r="E86" s="523"/>
      <c r="F86" s="524"/>
      <c r="G86" s="523"/>
      <c r="H86" s="524"/>
      <c r="I86" s="41">
        <f t="shared" si="16"/>
        <v>0</v>
      </c>
      <c r="J86" s="165" t="str">
        <f t="shared" si="17"/>
        <v/>
      </c>
      <c r="K86" s="525"/>
      <c r="L86" s="44"/>
      <c r="M86" s="37"/>
      <c r="N86" s="37"/>
      <c r="O86" s="37"/>
      <c r="P86" s="37"/>
      <c r="Q86" s="37"/>
      <c r="R86" s="37"/>
      <c r="S86" s="37"/>
      <c r="T86" s="37"/>
      <c r="U86" s="37"/>
      <c r="V86" s="37"/>
      <c r="W86" s="37"/>
    </row>
    <row r="87" spans="1:23" ht="11.25" hidden="1" customHeight="1" x14ac:dyDescent="0.25">
      <c r="A87" s="36">
        <f>'Org structure'!E82</f>
        <v>0</v>
      </c>
      <c r="B87" s="368"/>
      <c r="C87" s="521"/>
      <c r="D87" s="522"/>
      <c r="E87" s="523"/>
      <c r="F87" s="524"/>
      <c r="G87" s="523"/>
      <c r="H87" s="524"/>
      <c r="I87" s="41">
        <f t="shared" si="16"/>
        <v>0</v>
      </c>
      <c r="J87" s="165" t="str">
        <f t="shared" si="17"/>
        <v/>
      </c>
      <c r="K87" s="525"/>
      <c r="L87" s="44"/>
      <c r="M87" s="37"/>
      <c r="N87" s="37"/>
      <c r="O87" s="37"/>
      <c r="P87" s="37"/>
      <c r="Q87" s="37"/>
      <c r="R87" s="37"/>
      <c r="S87" s="37"/>
      <c r="T87" s="37"/>
      <c r="U87" s="37"/>
      <c r="V87" s="37"/>
      <c r="W87" s="37"/>
    </row>
    <row r="88" spans="1:23" ht="11.25" hidden="1" customHeight="1" x14ac:dyDescent="0.25">
      <c r="A88" s="36">
        <f>'Org structure'!E83</f>
        <v>0</v>
      </c>
      <c r="B88" s="368"/>
      <c r="C88" s="521"/>
      <c r="D88" s="522"/>
      <c r="E88" s="523"/>
      <c r="F88" s="524"/>
      <c r="G88" s="523"/>
      <c r="H88" s="524"/>
      <c r="I88" s="41">
        <f t="shared" si="16"/>
        <v>0</v>
      </c>
      <c r="J88" s="165" t="str">
        <f t="shared" si="17"/>
        <v/>
      </c>
      <c r="K88" s="525"/>
      <c r="L88" s="44"/>
      <c r="M88" s="37"/>
      <c r="N88" s="37"/>
      <c r="O88" s="37"/>
      <c r="P88" s="37"/>
      <c r="Q88" s="37"/>
      <c r="R88" s="37"/>
      <c r="S88" s="37"/>
      <c r="T88" s="37"/>
      <c r="U88" s="37"/>
      <c r="V88" s="37"/>
      <c r="W88" s="37"/>
    </row>
    <row r="89" spans="1:23" ht="11.25" hidden="1" customHeight="1" x14ac:dyDescent="0.25">
      <c r="A89" s="36">
        <f>'Org structure'!E84</f>
        <v>0</v>
      </c>
      <c r="B89" s="368"/>
      <c r="C89" s="521"/>
      <c r="D89" s="522"/>
      <c r="E89" s="523"/>
      <c r="F89" s="524"/>
      <c r="G89" s="523"/>
      <c r="H89" s="524"/>
      <c r="I89" s="41">
        <f t="shared" si="16"/>
        <v>0</v>
      </c>
      <c r="J89" s="165" t="str">
        <f t="shared" si="17"/>
        <v/>
      </c>
      <c r="K89" s="525"/>
      <c r="L89" s="44"/>
      <c r="M89" s="37"/>
      <c r="N89" s="37"/>
      <c r="O89" s="37"/>
      <c r="P89" s="37"/>
      <c r="Q89" s="37"/>
      <c r="R89" s="37"/>
      <c r="S89" s="37"/>
      <c r="T89" s="37"/>
      <c r="U89" s="37"/>
      <c r="V89" s="37"/>
      <c r="W89" s="37"/>
    </row>
    <row r="90" spans="1:23" ht="11.25" hidden="1" customHeight="1" x14ac:dyDescent="0.25">
      <c r="A90" s="36">
        <f>'Org structure'!E85</f>
        <v>0</v>
      </c>
      <c r="B90" s="368"/>
      <c r="C90" s="521"/>
      <c r="D90" s="522"/>
      <c r="E90" s="523"/>
      <c r="F90" s="524"/>
      <c r="G90" s="523"/>
      <c r="H90" s="524"/>
      <c r="I90" s="41">
        <f t="shared" si="16"/>
        <v>0</v>
      </c>
      <c r="J90" s="165" t="str">
        <f t="shared" si="17"/>
        <v/>
      </c>
      <c r="K90" s="525"/>
      <c r="L90" s="44"/>
      <c r="M90" s="37"/>
      <c r="N90" s="37"/>
      <c r="O90" s="37"/>
      <c r="P90" s="37"/>
      <c r="Q90" s="37"/>
      <c r="R90" s="37"/>
      <c r="S90" s="37"/>
      <c r="T90" s="37"/>
      <c r="U90" s="37"/>
      <c r="V90" s="37"/>
      <c r="W90" s="37"/>
    </row>
    <row r="91" spans="1:23" ht="11.25" hidden="1" customHeight="1" x14ac:dyDescent="0.25">
      <c r="A91" s="36">
        <f>'Org structure'!E86</f>
        <v>0</v>
      </c>
      <c r="B91" s="368"/>
      <c r="C91" s="521"/>
      <c r="D91" s="522"/>
      <c r="E91" s="523"/>
      <c r="F91" s="524"/>
      <c r="G91" s="523"/>
      <c r="H91" s="524"/>
      <c r="I91" s="41">
        <f t="shared" si="16"/>
        <v>0</v>
      </c>
      <c r="J91" s="165" t="str">
        <f t="shared" si="17"/>
        <v/>
      </c>
      <c r="K91" s="525"/>
      <c r="L91" s="44"/>
      <c r="M91" s="37"/>
      <c r="N91" s="37"/>
      <c r="O91" s="37"/>
      <c r="P91" s="37"/>
      <c r="Q91" s="37"/>
      <c r="R91" s="37"/>
      <c r="S91" s="37"/>
      <c r="T91" s="37"/>
      <c r="U91" s="37"/>
      <c r="V91" s="37"/>
      <c r="W91" s="37"/>
    </row>
    <row r="92" spans="1:23" ht="11.25" hidden="1" customHeight="1" x14ac:dyDescent="0.25">
      <c r="A92" s="36">
        <f>'Org structure'!E87</f>
        <v>0</v>
      </c>
      <c r="B92" s="368"/>
      <c r="C92" s="521"/>
      <c r="D92" s="522"/>
      <c r="E92" s="523"/>
      <c r="F92" s="524"/>
      <c r="G92" s="523"/>
      <c r="H92" s="524"/>
      <c r="I92" s="41">
        <f t="shared" si="16"/>
        <v>0</v>
      </c>
      <c r="J92" s="165" t="str">
        <f t="shared" si="17"/>
        <v/>
      </c>
      <c r="K92" s="525"/>
      <c r="L92" s="44"/>
      <c r="M92" s="37"/>
      <c r="N92" s="37"/>
      <c r="O92" s="37"/>
      <c r="P92" s="37"/>
      <c r="Q92" s="37"/>
      <c r="R92" s="37"/>
      <c r="S92" s="37"/>
      <c r="T92" s="37"/>
      <c r="U92" s="37"/>
      <c r="V92" s="37"/>
      <c r="W92" s="37"/>
    </row>
    <row r="93" spans="1:23" ht="11.25" hidden="1" customHeight="1" x14ac:dyDescent="0.25">
      <c r="A93" s="36">
        <f>'Org structure'!E88</f>
        <v>0</v>
      </c>
      <c r="B93" s="368"/>
      <c r="C93" s="521"/>
      <c r="D93" s="522"/>
      <c r="E93" s="523"/>
      <c r="F93" s="524"/>
      <c r="G93" s="523"/>
      <c r="H93" s="524"/>
      <c r="I93" s="41">
        <f t="shared" si="16"/>
        <v>0</v>
      </c>
      <c r="J93" s="165" t="str">
        <f t="shared" si="17"/>
        <v/>
      </c>
      <c r="K93" s="525"/>
      <c r="L93" s="44"/>
      <c r="M93" s="37"/>
      <c r="N93" s="37"/>
      <c r="O93" s="37"/>
      <c r="P93" s="37"/>
      <c r="Q93" s="37"/>
      <c r="R93" s="37"/>
      <c r="S93" s="37"/>
      <c r="T93" s="37"/>
      <c r="U93" s="37"/>
      <c r="V93" s="37"/>
      <c r="W93" s="37"/>
    </row>
    <row r="94" spans="1:23" ht="11.25" hidden="1" customHeight="1" x14ac:dyDescent="0.25">
      <c r="A94" s="36">
        <f>'Org structure'!E89</f>
        <v>0</v>
      </c>
      <c r="B94" s="368"/>
      <c r="C94" s="521"/>
      <c r="D94" s="522"/>
      <c r="E94" s="523"/>
      <c r="F94" s="524"/>
      <c r="G94" s="523"/>
      <c r="H94" s="524"/>
      <c r="I94" s="41">
        <f t="shared" si="16"/>
        <v>0</v>
      </c>
      <c r="J94" s="165" t="str">
        <f t="shared" si="17"/>
        <v/>
      </c>
      <c r="K94" s="525"/>
      <c r="L94" s="44"/>
      <c r="M94" s="37"/>
      <c r="N94" s="37"/>
      <c r="O94" s="37"/>
      <c r="P94" s="37"/>
      <c r="Q94" s="37"/>
      <c r="R94" s="37"/>
      <c r="S94" s="37"/>
      <c r="T94" s="37"/>
      <c r="U94" s="37"/>
      <c r="V94" s="37"/>
      <c r="W94" s="37"/>
    </row>
    <row r="95" spans="1:23" ht="11.25" hidden="1" customHeight="1" x14ac:dyDescent="0.25">
      <c r="A95" s="88" t="str">
        <f>'Org structure'!A10</f>
        <v>Vote 9 - [NAME OF VOTE 9]</v>
      </c>
      <c r="B95" s="368"/>
      <c r="C95" s="397">
        <f>SUM(C96:C105)</f>
        <v>0</v>
      </c>
      <c r="D95" s="367">
        <f t="shared" ref="D95:K95" si="20">SUM(D96:D105)</f>
        <v>0</v>
      </c>
      <c r="E95" s="364">
        <f t="shared" si="20"/>
        <v>0</v>
      </c>
      <c r="F95" s="366">
        <f t="shared" si="20"/>
        <v>0</v>
      </c>
      <c r="G95" s="364">
        <f t="shared" si="20"/>
        <v>0</v>
      </c>
      <c r="H95" s="366">
        <f t="shared" si="20"/>
        <v>0</v>
      </c>
      <c r="I95" s="41">
        <f t="shared" si="16"/>
        <v>0</v>
      </c>
      <c r="J95" s="165" t="str">
        <f t="shared" si="17"/>
        <v/>
      </c>
      <c r="K95" s="365">
        <f t="shared" si="20"/>
        <v>0</v>
      </c>
      <c r="L95" s="44"/>
      <c r="M95" s="37"/>
      <c r="N95" s="37"/>
      <c r="O95" s="37"/>
      <c r="P95" s="37"/>
      <c r="Q95" s="37"/>
      <c r="R95" s="37"/>
      <c r="S95" s="37"/>
      <c r="T95" s="37"/>
      <c r="U95" s="37"/>
      <c r="V95" s="37"/>
      <c r="W95" s="37"/>
    </row>
    <row r="96" spans="1:23" ht="11.25" hidden="1" customHeight="1" x14ac:dyDescent="0.25">
      <c r="A96" s="36" t="str">
        <f>'Org structure'!E91</f>
        <v>9.1 - [Name of sub-vote]</v>
      </c>
      <c r="B96" s="368"/>
      <c r="C96" s="521"/>
      <c r="D96" s="522"/>
      <c r="E96" s="523"/>
      <c r="F96" s="524"/>
      <c r="G96" s="523"/>
      <c r="H96" s="524"/>
      <c r="I96" s="41">
        <f t="shared" si="16"/>
        <v>0</v>
      </c>
      <c r="J96" s="165" t="str">
        <f t="shared" si="17"/>
        <v/>
      </c>
      <c r="K96" s="525"/>
      <c r="L96" s="44"/>
      <c r="M96" s="37"/>
      <c r="N96" s="37"/>
      <c r="O96" s="37"/>
      <c r="P96" s="37"/>
      <c r="Q96" s="37"/>
      <c r="R96" s="37"/>
      <c r="S96" s="37"/>
      <c r="T96" s="37"/>
      <c r="U96" s="37"/>
      <c r="V96" s="37"/>
      <c r="W96" s="37"/>
    </row>
    <row r="97" spans="1:23" ht="11.25" hidden="1" customHeight="1" x14ac:dyDescent="0.25">
      <c r="A97" s="36">
        <f>'Org structure'!E92</f>
        <v>0</v>
      </c>
      <c r="B97" s="368"/>
      <c r="C97" s="521"/>
      <c r="D97" s="522"/>
      <c r="E97" s="523"/>
      <c r="F97" s="524"/>
      <c r="G97" s="523"/>
      <c r="H97" s="524"/>
      <c r="I97" s="41">
        <f t="shared" si="16"/>
        <v>0</v>
      </c>
      <c r="J97" s="165" t="str">
        <f t="shared" si="17"/>
        <v/>
      </c>
      <c r="K97" s="525"/>
      <c r="L97" s="44"/>
      <c r="M97" s="37"/>
      <c r="N97" s="37"/>
      <c r="O97" s="37"/>
      <c r="P97" s="37"/>
      <c r="Q97" s="37"/>
      <c r="R97" s="37"/>
      <c r="S97" s="37"/>
      <c r="T97" s="37"/>
      <c r="U97" s="37"/>
      <c r="V97" s="37"/>
      <c r="W97" s="37"/>
    </row>
    <row r="98" spans="1:23" ht="11.25" hidden="1" customHeight="1" x14ac:dyDescent="0.25">
      <c r="A98" s="36">
        <f>'Org structure'!E93</f>
        <v>0</v>
      </c>
      <c r="B98" s="368"/>
      <c r="C98" s="521"/>
      <c r="D98" s="522"/>
      <c r="E98" s="523"/>
      <c r="F98" s="524"/>
      <c r="G98" s="523"/>
      <c r="H98" s="524"/>
      <c r="I98" s="41">
        <f t="shared" si="16"/>
        <v>0</v>
      </c>
      <c r="J98" s="165" t="str">
        <f t="shared" si="17"/>
        <v/>
      </c>
      <c r="K98" s="525"/>
      <c r="L98" s="44"/>
      <c r="M98" s="37"/>
      <c r="N98" s="37"/>
      <c r="O98" s="37"/>
      <c r="P98" s="37"/>
      <c r="Q98" s="37"/>
      <c r="R98" s="37"/>
      <c r="S98" s="37"/>
      <c r="T98" s="37"/>
      <c r="U98" s="37"/>
      <c r="V98" s="37"/>
      <c r="W98" s="37"/>
    </row>
    <row r="99" spans="1:23" ht="11.25" hidden="1" customHeight="1" x14ac:dyDescent="0.25">
      <c r="A99" s="36">
        <f>'Org structure'!E94</f>
        <v>0</v>
      </c>
      <c r="B99" s="368"/>
      <c r="C99" s="521"/>
      <c r="D99" s="522"/>
      <c r="E99" s="523"/>
      <c r="F99" s="524"/>
      <c r="G99" s="523"/>
      <c r="H99" s="524"/>
      <c r="I99" s="41">
        <f t="shared" si="16"/>
        <v>0</v>
      </c>
      <c r="J99" s="165" t="str">
        <f t="shared" si="17"/>
        <v/>
      </c>
      <c r="K99" s="525"/>
      <c r="L99" s="44"/>
      <c r="M99" s="37"/>
      <c r="N99" s="37"/>
      <c r="O99" s="37"/>
      <c r="P99" s="37"/>
      <c r="Q99" s="37"/>
      <c r="R99" s="37"/>
      <c r="S99" s="37"/>
      <c r="T99" s="37"/>
      <c r="U99" s="37"/>
      <c r="V99" s="37"/>
      <c r="W99" s="37"/>
    </row>
    <row r="100" spans="1:23" ht="11.25" hidden="1" customHeight="1" x14ac:dyDescent="0.25">
      <c r="A100" s="36">
        <f>'Org structure'!E95</f>
        <v>0</v>
      </c>
      <c r="B100" s="368"/>
      <c r="C100" s="521"/>
      <c r="D100" s="522"/>
      <c r="E100" s="523"/>
      <c r="F100" s="524"/>
      <c r="G100" s="523"/>
      <c r="H100" s="524"/>
      <c r="I100" s="41">
        <f t="shared" si="16"/>
        <v>0</v>
      </c>
      <c r="J100" s="165" t="str">
        <f t="shared" si="17"/>
        <v/>
      </c>
      <c r="K100" s="525"/>
      <c r="L100" s="44"/>
      <c r="M100" s="37"/>
      <c r="N100" s="37"/>
      <c r="O100" s="37"/>
      <c r="P100" s="37"/>
      <c r="Q100" s="37"/>
      <c r="R100" s="37"/>
      <c r="S100" s="37"/>
      <c r="T100" s="37"/>
      <c r="U100" s="37"/>
      <c r="V100" s="37"/>
      <c r="W100" s="37"/>
    </row>
    <row r="101" spans="1:23" ht="11.25" hidden="1" customHeight="1" x14ac:dyDescent="0.25">
      <c r="A101" s="36">
        <f>'Org structure'!E96</f>
        <v>0</v>
      </c>
      <c r="B101" s="368"/>
      <c r="C101" s="521"/>
      <c r="D101" s="522"/>
      <c r="E101" s="523"/>
      <c r="F101" s="524"/>
      <c r="G101" s="523"/>
      <c r="H101" s="524"/>
      <c r="I101" s="41">
        <f t="shared" si="16"/>
        <v>0</v>
      </c>
      <c r="J101" s="165" t="str">
        <f t="shared" si="17"/>
        <v/>
      </c>
      <c r="K101" s="525"/>
      <c r="L101" s="44"/>
      <c r="M101" s="37"/>
      <c r="N101" s="37"/>
      <c r="O101" s="37"/>
      <c r="P101" s="37"/>
      <c r="Q101" s="37"/>
      <c r="R101" s="37"/>
      <c r="S101" s="37"/>
      <c r="T101" s="37"/>
      <c r="U101" s="37"/>
      <c r="V101" s="37"/>
      <c r="W101" s="37"/>
    </row>
    <row r="102" spans="1:23" ht="11.25" hidden="1" customHeight="1" x14ac:dyDescent="0.25">
      <c r="A102" s="36">
        <f>'Org structure'!E97</f>
        <v>0</v>
      </c>
      <c r="B102" s="368"/>
      <c r="C102" s="521"/>
      <c r="D102" s="522"/>
      <c r="E102" s="523"/>
      <c r="F102" s="524"/>
      <c r="G102" s="523"/>
      <c r="H102" s="524"/>
      <c r="I102" s="41">
        <f t="shared" si="16"/>
        <v>0</v>
      </c>
      <c r="J102" s="165" t="str">
        <f t="shared" si="17"/>
        <v/>
      </c>
      <c r="K102" s="525"/>
      <c r="L102" s="44"/>
      <c r="M102" s="37"/>
      <c r="N102" s="37"/>
      <c r="O102" s="37"/>
      <c r="P102" s="37"/>
      <c r="Q102" s="37"/>
      <c r="R102" s="37"/>
      <c r="S102" s="37"/>
      <c r="T102" s="37"/>
      <c r="U102" s="37"/>
      <c r="V102" s="37"/>
      <c r="W102" s="37"/>
    </row>
    <row r="103" spans="1:23" ht="11.25" hidden="1" customHeight="1" x14ac:dyDescent="0.25">
      <c r="A103" s="36">
        <f>'Org structure'!E98</f>
        <v>0</v>
      </c>
      <c r="B103" s="368"/>
      <c r="C103" s="521"/>
      <c r="D103" s="522"/>
      <c r="E103" s="523"/>
      <c r="F103" s="524"/>
      <c r="G103" s="523"/>
      <c r="H103" s="524"/>
      <c r="I103" s="41">
        <f t="shared" si="16"/>
        <v>0</v>
      </c>
      <c r="J103" s="165" t="str">
        <f t="shared" si="17"/>
        <v/>
      </c>
      <c r="K103" s="525"/>
      <c r="L103" s="44"/>
      <c r="M103" s="37"/>
      <c r="N103" s="37"/>
      <c r="O103" s="37"/>
      <c r="P103" s="37"/>
      <c r="Q103" s="37"/>
      <c r="R103" s="37"/>
      <c r="S103" s="37"/>
      <c r="T103" s="37"/>
      <c r="U103" s="37"/>
      <c r="V103" s="37"/>
      <c r="W103" s="37"/>
    </row>
    <row r="104" spans="1:23" ht="11.25" hidden="1" customHeight="1" x14ac:dyDescent="0.25">
      <c r="A104" s="36">
        <f>'Org structure'!E99</f>
        <v>0</v>
      </c>
      <c r="B104" s="368"/>
      <c r="C104" s="521"/>
      <c r="D104" s="522"/>
      <c r="E104" s="523"/>
      <c r="F104" s="524"/>
      <c r="G104" s="523"/>
      <c r="H104" s="524"/>
      <c r="I104" s="41">
        <f t="shared" si="16"/>
        <v>0</v>
      </c>
      <c r="J104" s="165" t="str">
        <f t="shared" si="17"/>
        <v/>
      </c>
      <c r="K104" s="525"/>
      <c r="L104" s="44"/>
      <c r="M104" s="37"/>
      <c r="N104" s="37"/>
      <c r="O104" s="37"/>
      <c r="P104" s="37"/>
      <c r="Q104" s="37"/>
      <c r="R104" s="37"/>
      <c r="S104" s="37"/>
      <c r="T104" s="37"/>
      <c r="U104" s="37"/>
      <c r="V104" s="37"/>
      <c r="W104" s="37"/>
    </row>
    <row r="105" spans="1:23" ht="11.25" hidden="1" customHeight="1" x14ac:dyDescent="0.25">
      <c r="A105" s="36">
        <f>'Org structure'!E100</f>
        <v>0</v>
      </c>
      <c r="B105" s="368"/>
      <c r="C105" s="521"/>
      <c r="D105" s="522"/>
      <c r="E105" s="523"/>
      <c r="F105" s="524"/>
      <c r="G105" s="523"/>
      <c r="H105" s="524"/>
      <c r="I105" s="41">
        <f t="shared" si="16"/>
        <v>0</v>
      </c>
      <c r="J105" s="165" t="str">
        <f t="shared" si="17"/>
        <v/>
      </c>
      <c r="K105" s="525"/>
      <c r="L105" s="44"/>
      <c r="M105" s="37"/>
      <c r="N105" s="37"/>
      <c r="O105" s="37"/>
      <c r="P105" s="37"/>
      <c r="Q105" s="37"/>
      <c r="R105" s="37"/>
      <c r="S105" s="37"/>
      <c r="T105" s="37"/>
      <c r="U105" s="37"/>
      <c r="V105" s="37"/>
      <c r="W105" s="37"/>
    </row>
    <row r="106" spans="1:23" ht="11.25" hidden="1" customHeight="1" x14ac:dyDescent="0.25">
      <c r="A106" s="88" t="str">
        <f>'Org structure'!A11</f>
        <v>Vote 10 - [NAME OF VOTE 10]</v>
      </c>
      <c r="B106" s="368"/>
      <c r="C106" s="397">
        <f>SUM(C107:C116)</f>
        <v>0</v>
      </c>
      <c r="D106" s="367">
        <f t="shared" ref="D106:K106" si="21">SUM(D107:D116)</f>
        <v>0</v>
      </c>
      <c r="E106" s="364">
        <f t="shared" si="21"/>
        <v>0</v>
      </c>
      <c r="F106" s="366">
        <f t="shared" si="21"/>
        <v>0</v>
      </c>
      <c r="G106" s="364">
        <f t="shared" si="21"/>
        <v>0</v>
      </c>
      <c r="H106" s="366">
        <f t="shared" si="21"/>
        <v>0</v>
      </c>
      <c r="I106" s="41">
        <f t="shared" si="16"/>
        <v>0</v>
      </c>
      <c r="J106" s="165" t="str">
        <f t="shared" si="17"/>
        <v/>
      </c>
      <c r="K106" s="365">
        <f t="shared" si="21"/>
        <v>0</v>
      </c>
      <c r="L106" s="44"/>
      <c r="M106" s="37"/>
      <c r="N106" s="37"/>
      <c r="O106" s="37"/>
      <c r="P106" s="37"/>
      <c r="Q106" s="37"/>
      <c r="R106" s="37"/>
      <c r="S106" s="37"/>
      <c r="T106" s="37"/>
      <c r="U106" s="37"/>
      <c r="V106" s="37"/>
      <c r="W106" s="37"/>
    </row>
    <row r="107" spans="1:23" ht="11.25" hidden="1" customHeight="1" x14ac:dyDescent="0.25">
      <c r="A107" s="36" t="str">
        <f>'Org structure'!E102</f>
        <v>10.1 - [Name of sub-vote]</v>
      </c>
      <c r="B107" s="368"/>
      <c r="C107" s="521"/>
      <c r="D107" s="522"/>
      <c r="E107" s="523"/>
      <c r="F107" s="524"/>
      <c r="G107" s="523"/>
      <c r="H107" s="524"/>
      <c r="I107" s="41">
        <f t="shared" si="16"/>
        <v>0</v>
      </c>
      <c r="J107" s="165" t="str">
        <f t="shared" si="17"/>
        <v/>
      </c>
      <c r="K107" s="525"/>
      <c r="L107" s="44"/>
      <c r="M107" s="37"/>
      <c r="N107" s="37"/>
      <c r="O107" s="37"/>
      <c r="P107" s="37"/>
      <c r="Q107" s="37"/>
      <c r="R107" s="37"/>
      <c r="S107" s="37"/>
      <c r="T107" s="37"/>
      <c r="U107" s="37"/>
      <c r="V107" s="37"/>
      <c r="W107" s="37"/>
    </row>
    <row r="108" spans="1:23" ht="11.25" hidden="1" customHeight="1" x14ac:dyDescent="0.25">
      <c r="A108" s="36">
        <f>'Org structure'!E103</f>
        <v>0</v>
      </c>
      <c r="B108" s="368"/>
      <c r="C108" s="521"/>
      <c r="D108" s="522"/>
      <c r="E108" s="523"/>
      <c r="F108" s="524"/>
      <c r="G108" s="523"/>
      <c r="H108" s="524"/>
      <c r="I108" s="41">
        <f t="shared" si="16"/>
        <v>0</v>
      </c>
      <c r="J108" s="165" t="str">
        <f t="shared" si="17"/>
        <v/>
      </c>
      <c r="K108" s="525"/>
      <c r="L108" s="44"/>
      <c r="M108" s="37"/>
      <c r="N108" s="37"/>
      <c r="O108" s="37"/>
      <c r="P108" s="37"/>
      <c r="Q108" s="37"/>
      <c r="R108" s="37"/>
      <c r="S108" s="37"/>
      <c r="T108" s="37"/>
      <c r="U108" s="37"/>
      <c r="V108" s="37"/>
      <c r="W108" s="37"/>
    </row>
    <row r="109" spans="1:23" ht="11.25" hidden="1" customHeight="1" x14ac:dyDescent="0.25">
      <c r="A109" s="36">
        <f>'Org structure'!E104</f>
        <v>0</v>
      </c>
      <c r="B109" s="368"/>
      <c r="C109" s="521"/>
      <c r="D109" s="522"/>
      <c r="E109" s="523"/>
      <c r="F109" s="524"/>
      <c r="G109" s="523"/>
      <c r="H109" s="524"/>
      <c r="I109" s="41">
        <f t="shared" si="16"/>
        <v>0</v>
      </c>
      <c r="J109" s="165" t="str">
        <f t="shared" si="17"/>
        <v/>
      </c>
      <c r="K109" s="525"/>
      <c r="L109" s="44"/>
      <c r="M109" s="37"/>
      <c r="N109" s="37"/>
      <c r="O109" s="37"/>
      <c r="P109" s="37"/>
      <c r="Q109" s="37"/>
      <c r="R109" s="37"/>
      <c r="S109" s="37"/>
      <c r="T109" s="37"/>
      <c r="U109" s="37"/>
      <c r="V109" s="37"/>
      <c r="W109" s="37"/>
    </row>
    <row r="110" spans="1:23" ht="11.25" hidden="1" customHeight="1" x14ac:dyDescent="0.25">
      <c r="A110" s="36">
        <f>'Org structure'!E105</f>
        <v>0</v>
      </c>
      <c r="B110" s="368"/>
      <c r="C110" s="521"/>
      <c r="D110" s="522"/>
      <c r="E110" s="523"/>
      <c r="F110" s="524"/>
      <c r="G110" s="523"/>
      <c r="H110" s="524"/>
      <c r="I110" s="41">
        <f t="shared" si="16"/>
        <v>0</v>
      </c>
      <c r="J110" s="165" t="str">
        <f t="shared" si="17"/>
        <v/>
      </c>
      <c r="K110" s="525"/>
      <c r="L110" s="44"/>
      <c r="M110" s="37"/>
      <c r="N110" s="37"/>
      <c r="O110" s="37"/>
      <c r="P110" s="37"/>
      <c r="Q110" s="37"/>
      <c r="R110" s="37"/>
      <c r="S110" s="37"/>
      <c r="T110" s="37"/>
      <c r="U110" s="37"/>
      <c r="V110" s="37"/>
      <c r="W110" s="37"/>
    </row>
    <row r="111" spans="1:23" ht="11.25" hidden="1" customHeight="1" x14ac:dyDescent="0.25">
      <c r="A111" s="36">
        <f>'Org structure'!E106</f>
        <v>0</v>
      </c>
      <c r="B111" s="368"/>
      <c r="C111" s="521"/>
      <c r="D111" s="522"/>
      <c r="E111" s="523"/>
      <c r="F111" s="524"/>
      <c r="G111" s="523"/>
      <c r="H111" s="524"/>
      <c r="I111" s="41">
        <f t="shared" si="16"/>
        <v>0</v>
      </c>
      <c r="J111" s="165" t="str">
        <f t="shared" si="17"/>
        <v/>
      </c>
      <c r="K111" s="525"/>
      <c r="L111" s="44"/>
      <c r="M111" s="37"/>
      <c r="N111" s="37"/>
      <c r="O111" s="37"/>
      <c r="P111" s="37"/>
      <c r="Q111" s="37"/>
      <c r="R111" s="37"/>
      <c r="S111" s="37"/>
      <c r="T111" s="37"/>
      <c r="U111" s="37"/>
      <c r="V111" s="37"/>
      <c r="W111" s="37"/>
    </row>
    <row r="112" spans="1:23" ht="11.25" hidden="1" customHeight="1" x14ac:dyDescent="0.25">
      <c r="A112" s="36">
        <f>'Org structure'!E107</f>
        <v>0</v>
      </c>
      <c r="B112" s="368"/>
      <c r="C112" s="521"/>
      <c r="D112" s="522"/>
      <c r="E112" s="523"/>
      <c r="F112" s="524"/>
      <c r="G112" s="523"/>
      <c r="H112" s="524"/>
      <c r="I112" s="41">
        <f t="shared" si="16"/>
        <v>0</v>
      </c>
      <c r="J112" s="165" t="str">
        <f t="shared" si="17"/>
        <v/>
      </c>
      <c r="K112" s="525"/>
      <c r="L112" s="44"/>
      <c r="M112" s="37"/>
      <c r="N112" s="37"/>
      <c r="O112" s="37"/>
      <c r="P112" s="37"/>
      <c r="Q112" s="37"/>
      <c r="R112" s="37"/>
      <c r="S112" s="37"/>
      <c r="T112" s="37"/>
      <c r="U112" s="37"/>
      <c r="V112" s="37"/>
      <c r="W112" s="37"/>
    </row>
    <row r="113" spans="1:23" ht="11.25" hidden="1" customHeight="1" x14ac:dyDescent="0.25">
      <c r="A113" s="36">
        <f>'Org structure'!E108</f>
        <v>0</v>
      </c>
      <c r="B113" s="368"/>
      <c r="C113" s="521"/>
      <c r="D113" s="522"/>
      <c r="E113" s="523"/>
      <c r="F113" s="524"/>
      <c r="G113" s="523"/>
      <c r="H113" s="524"/>
      <c r="I113" s="41">
        <f t="shared" si="16"/>
        <v>0</v>
      </c>
      <c r="J113" s="165" t="str">
        <f t="shared" si="17"/>
        <v/>
      </c>
      <c r="K113" s="525"/>
      <c r="L113" s="44"/>
      <c r="M113" s="37"/>
      <c r="N113" s="37"/>
      <c r="O113" s="37"/>
      <c r="P113" s="37"/>
      <c r="Q113" s="37"/>
      <c r="R113" s="37"/>
      <c r="S113" s="37"/>
      <c r="T113" s="37"/>
      <c r="U113" s="37"/>
      <c r="V113" s="37"/>
      <c r="W113" s="37"/>
    </row>
    <row r="114" spans="1:23" ht="11.25" hidden="1" customHeight="1" x14ac:dyDescent="0.25">
      <c r="A114" s="36">
        <f>'Org structure'!E109</f>
        <v>0</v>
      </c>
      <c r="B114" s="368"/>
      <c r="C114" s="521"/>
      <c r="D114" s="522"/>
      <c r="E114" s="523"/>
      <c r="F114" s="524"/>
      <c r="G114" s="523"/>
      <c r="H114" s="524"/>
      <c r="I114" s="41">
        <f t="shared" si="16"/>
        <v>0</v>
      </c>
      <c r="J114" s="165" t="str">
        <f t="shared" si="17"/>
        <v/>
      </c>
      <c r="K114" s="525"/>
      <c r="L114" s="44"/>
      <c r="M114" s="37"/>
      <c r="N114" s="37"/>
      <c r="O114" s="37"/>
      <c r="P114" s="37"/>
      <c r="Q114" s="37"/>
      <c r="R114" s="37"/>
      <c r="S114" s="37"/>
      <c r="T114" s="37"/>
      <c r="U114" s="37"/>
      <c r="V114" s="37"/>
      <c r="W114" s="37"/>
    </row>
    <row r="115" spans="1:23" ht="11.25" hidden="1" customHeight="1" x14ac:dyDescent="0.25">
      <c r="A115" s="36">
        <f>'Org structure'!E110</f>
        <v>0</v>
      </c>
      <c r="B115" s="368"/>
      <c r="C115" s="521"/>
      <c r="D115" s="522"/>
      <c r="E115" s="523"/>
      <c r="F115" s="524"/>
      <c r="G115" s="523"/>
      <c r="H115" s="524"/>
      <c r="I115" s="41">
        <f t="shared" si="16"/>
        <v>0</v>
      </c>
      <c r="J115" s="165" t="str">
        <f t="shared" si="17"/>
        <v/>
      </c>
      <c r="K115" s="525"/>
      <c r="L115" s="44"/>
      <c r="M115" s="37"/>
      <c r="N115" s="37"/>
      <c r="O115" s="37"/>
      <c r="P115" s="37"/>
      <c r="Q115" s="37"/>
      <c r="R115" s="37"/>
      <c r="S115" s="37"/>
      <c r="T115" s="37"/>
      <c r="U115" s="37"/>
      <c r="V115" s="37"/>
      <c r="W115" s="37"/>
    </row>
    <row r="116" spans="1:23" ht="11.25" hidden="1" customHeight="1" x14ac:dyDescent="0.25">
      <c r="A116" s="36">
        <f>'Org structure'!E111</f>
        <v>0</v>
      </c>
      <c r="B116" s="368"/>
      <c r="C116" s="521"/>
      <c r="D116" s="522"/>
      <c r="E116" s="523"/>
      <c r="F116" s="524"/>
      <c r="G116" s="523"/>
      <c r="H116" s="524"/>
      <c r="I116" s="41">
        <f t="shared" si="16"/>
        <v>0</v>
      </c>
      <c r="J116" s="165" t="str">
        <f t="shared" si="17"/>
        <v/>
      </c>
      <c r="K116" s="525"/>
      <c r="L116" s="44"/>
      <c r="M116" s="37"/>
      <c r="N116" s="37"/>
      <c r="O116" s="37"/>
      <c r="P116" s="37"/>
      <c r="Q116" s="37"/>
      <c r="R116" s="37"/>
      <c r="S116" s="37"/>
      <c r="T116" s="37"/>
      <c r="U116" s="37"/>
      <c r="V116" s="37"/>
      <c r="W116" s="37"/>
    </row>
    <row r="117" spans="1:23" ht="11.25" hidden="1" customHeight="1" x14ac:dyDescent="0.25">
      <c r="A117" s="88" t="str">
        <f>'Org structure'!A12</f>
        <v>Vote 11 - [NAME OF VOTE 11]</v>
      </c>
      <c r="B117" s="368"/>
      <c r="C117" s="397">
        <f>SUM(C118:C127)</f>
        <v>0</v>
      </c>
      <c r="D117" s="367">
        <f t="shared" ref="D117:K117" si="22">SUM(D118:D127)</f>
        <v>0</v>
      </c>
      <c r="E117" s="364">
        <f t="shared" si="22"/>
        <v>0</v>
      </c>
      <c r="F117" s="366">
        <f t="shared" si="22"/>
        <v>0</v>
      </c>
      <c r="G117" s="364">
        <f t="shared" si="22"/>
        <v>0</v>
      </c>
      <c r="H117" s="366">
        <f t="shared" si="22"/>
        <v>0</v>
      </c>
      <c r="I117" s="41">
        <f t="shared" si="16"/>
        <v>0</v>
      </c>
      <c r="J117" s="165" t="str">
        <f t="shared" si="17"/>
        <v/>
      </c>
      <c r="K117" s="365">
        <f t="shared" si="22"/>
        <v>0</v>
      </c>
      <c r="L117" s="44"/>
      <c r="M117" s="37"/>
      <c r="N117" s="37"/>
      <c r="O117" s="37"/>
      <c r="P117" s="37"/>
      <c r="Q117" s="37"/>
      <c r="R117" s="37"/>
      <c r="S117" s="37"/>
      <c r="T117" s="37"/>
      <c r="U117" s="37"/>
      <c r="V117" s="37"/>
      <c r="W117" s="37"/>
    </row>
    <row r="118" spans="1:23" ht="11.25" hidden="1" customHeight="1" x14ac:dyDescent="0.25">
      <c r="A118" s="36" t="str">
        <f>'Org structure'!E113</f>
        <v>11.1 - [Name of sub-vote]</v>
      </c>
      <c r="B118" s="368"/>
      <c r="C118" s="521"/>
      <c r="D118" s="522"/>
      <c r="E118" s="523"/>
      <c r="F118" s="524"/>
      <c r="G118" s="523"/>
      <c r="H118" s="524"/>
      <c r="I118" s="41">
        <f t="shared" si="16"/>
        <v>0</v>
      </c>
      <c r="J118" s="165" t="str">
        <f t="shared" si="17"/>
        <v/>
      </c>
      <c r="K118" s="525"/>
      <c r="L118" s="44"/>
      <c r="M118" s="37"/>
      <c r="N118" s="37"/>
      <c r="O118" s="37"/>
      <c r="P118" s="37"/>
      <c r="Q118" s="37"/>
      <c r="R118" s="37"/>
      <c r="S118" s="37"/>
      <c r="T118" s="37"/>
      <c r="U118" s="37"/>
      <c r="V118" s="37"/>
      <c r="W118" s="37"/>
    </row>
    <row r="119" spans="1:23" ht="11.25" hidden="1" customHeight="1" x14ac:dyDescent="0.25">
      <c r="A119" s="36">
        <f>'Org structure'!E114</f>
        <v>0</v>
      </c>
      <c r="B119" s="368"/>
      <c r="C119" s="521"/>
      <c r="D119" s="522"/>
      <c r="E119" s="523"/>
      <c r="F119" s="524"/>
      <c r="G119" s="523"/>
      <c r="H119" s="524"/>
      <c r="I119" s="41">
        <f t="shared" si="16"/>
        <v>0</v>
      </c>
      <c r="J119" s="165" t="str">
        <f t="shared" si="17"/>
        <v/>
      </c>
      <c r="K119" s="525"/>
      <c r="L119" s="44"/>
      <c r="M119" s="37"/>
      <c r="N119" s="37"/>
      <c r="O119" s="37"/>
      <c r="P119" s="37"/>
      <c r="Q119" s="37"/>
      <c r="R119" s="37"/>
      <c r="S119" s="37"/>
      <c r="T119" s="37"/>
      <c r="U119" s="37"/>
      <c r="V119" s="37"/>
      <c r="W119" s="37"/>
    </row>
    <row r="120" spans="1:23" ht="11.25" hidden="1" customHeight="1" x14ac:dyDescent="0.25">
      <c r="A120" s="36">
        <f>'Org structure'!E115</f>
        <v>0</v>
      </c>
      <c r="B120" s="368"/>
      <c r="C120" s="521"/>
      <c r="D120" s="522"/>
      <c r="E120" s="523"/>
      <c r="F120" s="524"/>
      <c r="G120" s="523"/>
      <c r="H120" s="524"/>
      <c r="I120" s="41">
        <f t="shared" si="16"/>
        <v>0</v>
      </c>
      <c r="J120" s="165" t="str">
        <f t="shared" si="17"/>
        <v/>
      </c>
      <c r="K120" s="525"/>
      <c r="L120" s="44"/>
      <c r="M120" s="37"/>
      <c r="N120" s="37"/>
      <c r="O120" s="37"/>
      <c r="P120" s="37"/>
      <c r="Q120" s="37"/>
      <c r="R120" s="37"/>
      <c r="S120" s="37"/>
      <c r="T120" s="37"/>
      <c r="U120" s="37"/>
      <c r="V120" s="37"/>
      <c r="W120" s="37"/>
    </row>
    <row r="121" spans="1:23" ht="11.25" hidden="1" customHeight="1" x14ac:dyDescent="0.25">
      <c r="A121" s="36">
        <f>'Org structure'!E116</f>
        <v>0</v>
      </c>
      <c r="B121" s="368"/>
      <c r="C121" s="521"/>
      <c r="D121" s="522"/>
      <c r="E121" s="523"/>
      <c r="F121" s="524"/>
      <c r="G121" s="523"/>
      <c r="H121" s="524"/>
      <c r="I121" s="41">
        <f t="shared" si="16"/>
        <v>0</v>
      </c>
      <c r="J121" s="165" t="str">
        <f t="shared" si="17"/>
        <v/>
      </c>
      <c r="K121" s="525"/>
      <c r="L121" s="44"/>
      <c r="M121" s="37"/>
      <c r="N121" s="37"/>
      <c r="O121" s="37"/>
      <c r="P121" s="37"/>
      <c r="Q121" s="37"/>
      <c r="R121" s="37"/>
      <c r="S121" s="37"/>
      <c r="T121" s="37"/>
      <c r="U121" s="37"/>
      <c r="V121" s="37"/>
      <c r="W121" s="37"/>
    </row>
    <row r="122" spans="1:23" ht="11.25" hidden="1" customHeight="1" x14ac:dyDescent="0.25">
      <c r="A122" s="36">
        <f>'Org structure'!E117</f>
        <v>0</v>
      </c>
      <c r="B122" s="368"/>
      <c r="C122" s="521"/>
      <c r="D122" s="522"/>
      <c r="E122" s="523"/>
      <c r="F122" s="524"/>
      <c r="G122" s="523"/>
      <c r="H122" s="524"/>
      <c r="I122" s="41">
        <f t="shared" si="16"/>
        <v>0</v>
      </c>
      <c r="J122" s="165" t="str">
        <f t="shared" si="17"/>
        <v/>
      </c>
      <c r="K122" s="525"/>
      <c r="L122" s="44"/>
      <c r="M122" s="37"/>
      <c r="N122" s="37"/>
      <c r="O122" s="37"/>
      <c r="P122" s="37"/>
      <c r="Q122" s="37"/>
      <c r="R122" s="37"/>
      <c r="S122" s="37"/>
      <c r="T122" s="37"/>
      <c r="U122" s="37"/>
      <c r="V122" s="37"/>
      <c r="W122" s="37"/>
    </row>
    <row r="123" spans="1:23" ht="11.25" hidden="1" customHeight="1" x14ac:dyDescent="0.25">
      <c r="A123" s="36">
        <f>'Org structure'!E118</f>
        <v>0</v>
      </c>
      <c r="B123" s="368"/>
      <c r="C123" s="521"/>
      <c r="D123" s="522"/>
      <c r="E123" s="523"/>
      <c r="F123" s="524"/>
      <c r="G123" s="523"/>
      <c r="H123" s="524"/>
      <c r="I123" s="41">
        <f t="shared" si="16"/>
        <v>0</v>
      </c>
      <c r="J123" s="165" t="str">
        <f t="shared" si="17"/>
        <v/>
      </c>
      <c r="K123" s="525"/>
      <c r="L123" s="44"/>
      <c r="M123" s="37"/>
      <c r="N123" s="37"/>
      <c r="O123" s="37"/>
      <c r="P123" s="37"/>
      <c r="Q123" s="37"/>
      <c r="R123" s="37"/>
      <c r="S123" s="37"/>
      <c r="T123" s="37"/>
      <c r="U123" s="37"/>
      <c r="V123" s="37"/>
      <c r="W123" s="37"/>
    </row>
    <row r="124" spans="1:23" ht="11.25" hidden="1" customHeight="1" x14ac:dyDescent="0.25">
      <c r="A124" s="36">
        <f>'Org structure'!E119</f>
        <v>0</v>
      </c>
      <c r="B124" s="368"/>
      <c r="C124" s="521"/>
      <c r="D124" s="522"/>
      <c r="E124" s="523"/>
      <c r="F124" s="524"/>
      <c r="G124" s="523"/>
      <c r="H124" s="524"/>
      <c r="I124" s="41">
        <f t="shared" si="16"/>
        <v>0</v>
      </c>
      <c r="J124" s="165" t="str">
        <f t="shared" si="17"/>
        <v/>
      </c>
      <c r="K124" s="525"/>
      <c r="L124" s="44"/>
      <c r="M124" s="37"/>
      <c r="N124" s="37"/>
      <c r="O124" s="37"/>
      <c r="P124" s="37"/>
      <c r="Q124" s="37"/>
      <c r="R124" s="37"/>
      <c r="S124" s="37"/>
      <c r="T124" s="37"/>
      <c r="U124" s="37"/>
      <c r="V124" s="37"/>
      <c r="W124" s="37"/>
    </row>
    <row r="125" spans="1:23" ht="11.25" hidden="1" customHeight="1" x14ac:dyDescent="0.25">
      <c r="A125" s="36">
        <f>'Org structure'!E120</f>
        <v>0</v>
      </c>
      <c r="B125" s="368"/>
      <c r="C125" s="521"/>
      <c r="D125" s="522"/>
      <c r="E125" s="523"/>
      <c r="F125" s="524"/>
      <c r="G125" s="523"/>
      <c r="H125" s="524"/>
      <c r="I125" s="41">
        <f t="shared" si="16"/>
        <v>0</v>
      </c>
      <c r="J125" s="165" t="str">
        <f t="shared" si="17"/>
        <v/>
      </c>
      <c r="K125" s="525"/>
      <c r="L125" s="44"/>
      <c r="M125" s="37"/>
      <c r="N125" s="37"/>
      <c r="O125" s="37"/>
      <c r="P125" s="37"/>
      <c r="Q125" s="37"/>
      <c r="R125" s="37"/>
      <c r="S125" s="37"/>
      <c r="T125" s="37"/>
      <c r="U125" s="37"/>
      <c r="V125" s="37"/>
      <c r="W125" s="37"/>
    </row>
    <row r="126" spans="1:23" ht="11.25" hidden="1" customHeight="1" x14ac:dyDescent="0.25">
      <c r="A126" s="36">
        <f>'Org structure'!E121</f>
        <v>0</v>
      </c>
      <c r="B126" s="368"/>
      <c r="C126" s="521"/>
      <c r="D126" s="522"/>
      <c r="E126" s="523"/>
      <c r="F126" s="524"/>
      <c r="G126" s="523"/>
      <c r="H126" s="524"/>
      <c r="I126" s="41">
        <f t="shared" si="16"/>
        <v>0</v>
      </c>
      <c r="J126" s="165" t="str">
        <f t="shared" si="17"/>
        <v/>
      </c>
      <c r="K126" s="525"/>
      <c r="L126" s="44"/>
      <c r="M126" s="37"/>
      <c r="N126" s="37"/>
      <c r="O126" s="37"/>
      <c r="P126" s="37"/>
      <c r="Q126" s="37"/>
      <c r="R126" s="37"/>
      <c r="S126" s="37"/>
      <c r="T126" s="37"/>
      <c r="U126" s="37"/>
      <c r="V126" s="37"/>
      <c r="W126" s="37"/>
    </row>
    <row r="127" spans="1:23" ht="11.25" hidden="1" customHeight="1" x14ac:dyDescent="0.25">
      <c r="A127" s="36">
        <f>'Org structure'!E122</f>
        <v>0</v>
      </c>
      <c r="B127" s="368"/>
      <c r="C127" s="521"/>
      <c r="D127" s="522"/>
      <c r="E127" s="523"/>
      <c r="F127" s="524"/>
      <c r="G127" s="523"/>
      <c r="H127" s="524"/>
      <c r="I127" s="41">
        <f t="shared" si="16"/>
        <v>0</v>
      </c>
      <c r="J127" s="165" t="str">
        <f t="shared" si="17"/>
        <v/>
      </c>
      <c r="K127" s="525"/>
      <c r="L127" s="44"/>
      <c r="M127" s="37"/>
      <c r="N127" s="37"/>
      <c r="O127" s="37"/>
      <c r="P127" s="37"/>
      <c r="Q127" s="37"/>
      <c r="R127" s="37"/>
      <c r="S127" s="37"/>
      <c r="T127" s="37"/>
      <c r="U127" s="37"/>
      <c r="V127" s="37"/>
      <c r="W127" s="37"/>
    </row>
    <row r="128" spans="1:23" ht="11.25" hidden="1" customHeight="1" x14ac:dyDescent="0.25">
      <c r="A128" s="88" t="str">
        <f>'Org structure'!A13</f>
        <v>Vote 12 - [NAME OF VOTE 12]</v>
      </c>
      <c r="B128" s="368"/>
      <c r="C128" s="397">
        <f>SUM(C129:C138)</f>
        <v>0</v>
      </c>
      <c r="D128" s="367">
        <f t="shared" ref="D128:K128" si="23">SUM(D129:D138)</f>
        <v>0</v>
      </c>
      <c r="E128" s="364">
        <f t="shared" si="23"/>
        <v>0</v>
      </c>
      <c r="F128" s="366">
        <f t="shared" si="23"/>
        <v>0</v>
      </c>
      <c r="G128" s="364">
        <f t="shared" si="23"/>
        <v>0</v>
      </c>
      <c r="H128" s="366">
        <f t="shared" si="23"/>
        <v>0</v>
      </c>
      <c r="I128" s="41">
        <f t="shared" si="16"/>
        <v>0</v>
      </c>
      <c r="J128" s="165" t="str">
        <f t="shared" si="17"/>
        <v/>
      </c>
      <c r="K128" s="365">
        <f t="shared" si="23"/>
        <v>0</v>
      </c>
      <c r="L128" s="44"/>
      <c r="M128" s="37"/>
      <c r="N128" s="37"/>
      <c r="O128" s="37"/>
      <c r="P128" s="37"/>
      <c r="Q128" s="37"/>
      <c r="R128" s="37"/>
      <c r="S128" s="37"/>
      <c r="T128" s="37"/>
      <c r="U128" s="37"/>
      <c r="V128" s="37"/>
      <c r="W128" s="37"/>
    </row>
    <row r="129" spans="1:23" ht="11.25" hidden="1" customHeight="1" x14ac:dyDescent="0.25">
      <c r="A129" s="36" t="str">
        <f>'Org structure'!E124</f>
        <v>12.1 - [Name of sub-vote]</v>
      </c>
      <c r="B129" s="368"/>
      <c r="C129" s="521"/>
      <c r="D129" s="522"/>
      <c r="E129" s="523"/>
      <c r="F129" s="524"/>
      <c r="G129" s="523"/>
      <c r="H129" s="524"/>
      <c r="I129" s="41">
        <f t="shared" si="16"/>
        <v>0</v>
      </c>
      <c r="J129" s="165" t="str">
        <f t="shared" si="17"/>
        <v/>
      </c>
      <c r="K129" s="525"/>
      <c r="L129" s="44"/>
      <c r="M129" s="37"/>
      <c r="N129" s="37"/>
      <c r="O129" s="37"/>
      <c r="P129" s="37"/>
      <c r="Q129" s="37"/>
      <c r="R129" s="37"/>
      <c r="S129" s="37"/>
      <c r="T129" s="37"/>
      <c r="U129" s="37"/>
      <c r="V129" s="37"/>
      <c r="W129" s="37"/>
    </row>
    <row r="130" spans="1:23" ht="11.25" hidden="1" customHeight="1" x14ac:dyDescent="0.25">
      <c r="A130" s="36">
        <f>'Org structure'!E125</f>
        <v>0</v>
      </c>
      <c r="B130" s="368"/>
      <c r="C130" s="521"/>
      <c r="D130" s="522"/>
      <c r="E130" s="523"/>
      <c r="F130" s="524"/>
      <c r="G130" s="523"/>
      <c r="H130" s="524"/>
      <c r="I130" s="41">
        <f t="shared" si="16"/>
        <v>0</v>
      </c>
      <c r="J130" s="165" t="str">
        <f t="shared" si="17"/>
        <v/>
      </c>
      <c r="K130" s="525"/>
      <c r="L130" s="44"/>
      <c r="M130" s="37"/>
      <c r="N130" s="37"/>
      <c r="O130" s="37"/>
      <c r="P130" s="37"/>
      <c r="Q130" s="37"/>
      <c r="R130" s="37"/>
      <c r="S130" s="37"/>
      <c r="T130" s="37"/>
      <c r="U130" s="37"/>
      <c r="V130" s="37"/>
      <c r="W130" s="37"/>
    </row>
    <row r="131" spans="1:23" ht="11.25" hidden="1" customHeight="1" x14ac:dyDescent="0.25">
      <c r="A131" s="36">
        <f>'Org structure'!E126</f>
        <v>0</v>
      </c>
      <c r="B131" s="368"/>
      <c r="C131" s="521"/>
      <c r="D131" s="522"/>
      <c r="E131" s="523"/>
      <c r="F131" s="524"/>
      <c r="G131" s="523"/>
      <c r="H131" s="524"/>
      <c r="I131" s="41">
        <f t="shared" si="16"/>
        <v>0</v>
      </c>
      <c r="J131" s="165" t="str">
        <f t="shared" si="17"/>
        <v/>
      </c>
      <c r="K131" s="525"/>
      <c r="L131" s="44"/>
      <c r="M131" s="37"/>
      <c r="N131" s="37"/>
      <c r="O131" s="37"/>
      <c r="P131" s="37"/>
      <c r="Q131" s="37"/>
      <c r="R131" s="37"/>
      <c r="S131" s="37"/>
      <c r="T131" s="37"/>
      <c r="U131" s="37"/>
      <c r="V131" s="37"/>
      <c r="W131" s="37"/>
    </row>
    <row r="132" spans="1:23" ht="11.25" hidden="1" customHeight="1" x14ac:dyDescent="0.25">
      <c r="A132" s="36">
        <f>'Org structure'!E127</f>
        <v>0</v>
      </c>
      <c r="B132" s="368"/>
      <c r="C132" s="521"/>
      <c r="D132" s="522"/>
      <c r="E132" s="523"/>
      <c r="F132" s="524"/>
      <c r="G132" s="523"/>
      <c r="H132" s="524"/>
      <c r="I132" s="41">
        <f t="shared" si="16"/>
        <v>0</v>
      </c>
      <c r="J132" s="165" t="str">
        <f t="shared" si="17"/>
        <v/>
      </c>
      <c r="K132" s="525"/>
      <c r="L132" s="44"/>
      <c r="M132" s="37"/>
      <c r="N132" s="37"/>
      <c r="O132" s="37"/>
      <c r="P132" s="37"/>
      <c r="Q132" s="37"/>
      <c r="R132" s="37"/>
      <c r="S132" s="37"/>
      <c r="T132" s="37"/>
      <c r="U132" s="37"/>
      <c r="V132" s="37"/>
      <c r="W132" s="37"/>
    </row>
    <row r="133" spans="1:23" ht="11.25" hidden="1" customHeight="1" x14ac:dyDescent="0.25">
      <c r="A133" s="36">
        <f>'Org structure'!E128</f>
        <v>0</v>
      </c>
      <c r="B133" s="368"/>
      <c r="C133" s="521"/>
      <c r="D133" s="522"/>
      <c r="E133" s="523"/>
      <c r="F133" s="524"/>
      <c r="G133" s="523"/>
      <c r="H133" s="524"/>
      <c r="I133" s="41">
        <f t="shared" si="16"/>
        <v>0</v>
      </c>
      <c r="J133" s="165" t="str">
        <f t="shared" si="17"/>
        <v/>
      </c>
      <c r="K133" s="525"/>
      <c r="L133" s="44"/>
      <c r="M133" s="37"/>
      <c r="N133" s="37"/>
      <c r="O133" s="37"/>
      <c r="P133" s="37"/>
      <c r="Q133" s="37"/>
      <c r="R133" s="37"/>
      <c r="S133" s="37"/>
      <c r="T133" s="37"/>
      <c r="U133" s="37"/>
      <c r="V133" s="37"/>
      <c r="W133" s="37"/>
    </row>
    <row r="134" spans="1:23" ht="11.25" hidden="1" customHeight="1" x14ac:dyDescent="0.25">
      <c r="A134" s="36">
        <f>'Org structure'!E129</f>
        <v>0</v>
      </c>
      <c r="B134" s="368"/>
      <c r="C134" s="521"/>
      <c r="D134" s="522"/>
      <c r="E134" s="523"/>
      <c r="F134" s="524"/>
      <c r="G134" s="523"/>
      <c r="H134" s="524"/>
      <c r="I134" s="41">
        <f t="shared" si="16"/>
        <v>0</v>
      </c>
      <c r="J134" s="165" t="str">
        <f t="shared" si="17"/>
        <v/>
      </c>
      <c r="K134" s="525"/>
      <c r="L134" s="44"/>
      <c r="M134" s="37"/>
      <c r="N134" s="37"/>
      <c r="O134" s="37"/>
      <c r="P134" s="37"/>
      <c r="Q134" s="37"/>
      <c r="R134" s="37"/>
      <c r="S134" s="37"/>
      <c r="T134" s="37"/>
      <c r="U134" s="37"/>
      <c r="V134" s="37"/>
      <c r="W134" s="37"/>
    </row>
    <row r="135" spans="1:23" ht="11.25" hidden="1" customHeight="1" x14ac:dyDescent="0.25">
      <c r="A135" s="36">
        <f>'Org structure'!E130</f>
        <v>0</v>
      </c>
      <c r="B135" s="368"/>
      <c r="C135" s="521"/>
      <c r="D135" s="522"/>
      <c r="E135" s="523"/>
      <c r="F135" s="524"/>
      <c r="G135" s="523"/>
      <c r="H135" s="524"/>
      <c r="I135" s="41">
        <f t="shared" ref="I135:I199" si="24">G135-H135</f>
        <v>0</v>
      </c>
      <c r="J135" s="165" t="str">
        <f t="shared" ref="J135:J199" si="25">IF(I135=0,"",I135/H135)</f>
        <v/>
      </c>
      <c r="K135" s="525"/>
      <c r="L135" s="44"/>
      <c r="M135" s="37"/>
      <c r="N135" s="37"/>
      <c r="O135" s="37"/>
      <c r="P135" s="37"/>
      <c r="Q135" s="37"/>
      <c r="R135" s="37"/>
      <c r="S135" s="37"/>
      <c r="T135" s="37"/>
      <c r="U135" s="37"/>
      <c r="V135" s="37"/>
      <c r="W135" s="37"/>
    </row>
    <row r="136" spans="1:23" ht="11.25" hidden="1" customHeight="1" x14ac:dyDescent="0.25">
      <c r="A136" s="36">
        <f>'Org structure'!E131</f>
        <v>0</v>
      </c>
      <c r="B136" s="368"/>
      <c r="C136" s="521"/>
      <c r="D136" s="522"/>
      <c r="E136" s="523"/>
      <c r="F136" s="524"/>
      <c r="G136" s="523"/>
      <c r="H136" s="524"/>
      <c r="I136" s="41">
        <f t="shared" si="24"/>
        <v>0</v>
      </c>
      <c r="J136" s="165" t="str">
        <f t="shared" si="25"/>
        <v/>
      </c>
      <c r="K136" s="525"/>
      <c r="L136" s="44"/>
      <c r="M136" s="37"/>
      <c r="N136" s="37"/>
      <c r="O136" s="37"/>
      <c r="P136" s="37"/>
      <c r="Q136" s="37"/>
      <c r="R136" s="37"/>
      <c r="S136" s="37"/>
      <c r="T136" s="37"/>
      <c r="U136" s="37"/>
      <c r="V136" s="37"/>
      <c r="W136" s="37"/>
    </row>
    <row r="137" spans="1:23" ht="11.25" hidden="1" customHeight="1" x14ac:dyDescent="0.25">
      <c r="A137" s="36">
        <f>'Org structure'!E132</f>
        <v>0</v>
      </c>
      <c r="B137" s="368"/>
      <c r="C137" s="521"/>
      <c r="D137" s="522"/>
      <c r="E137" s="523"/>
      <c r="F137" s="524"/>
      <c r="G137" s="523"/>
      <c r="H137" s="524"/>
      <c r="I137" s="41">
        <f t="shared" si="24"/>
        <v>0</v>
      </c>
      <c r="J137" s="165" t="str">
        <f t="shared" si="25"/>
        <v/>
      </c>
      <c r="K137" s="525"/>
      <c r="L137" s="44"/>
      <c r="M137" s="37"/>
      <c r="N137" s="37"/>
      <c r="O137" s="37"/>
      <c r="P137" s="37"/>
      <c r="Q137" s="37"/>
      <c r="R137" s="37"/>
      <c r="S137" s="37"/>
      <c r="T137" s="37"/>
      <c r="U137" s="37"/>
      <c r="V137" s="37"/>
      <c r="W137" s="37"/>
    </row>
    <row r="138" spans="1:23" ht="11.25" hidden="1" customHeight="1" x14ac:dyDescent="0.25">
      <c r="A138" s="36">
        <f>'Org structure'!E133</f>
        <v>0</v>
      </c>
      <c r="B138" s="368"/>
      <c r="C138" s="521"/>
      <c r="D138" s="522"/>
      <c r="E138" s="523"/>
      <c r="F138" s="524"/>
      <c r="G138" s="523"/>
      <c r="H138" s="524"/>
      <c r="I138" s="41">
        <f t="shared" si="24"/>
        <v>0</v>
      </c>
      <c r="J138" s="165" t="str">
        <f t="shared" si="25"/>
        <v/>
      </c>
      <c r="K138" s="525"/>
      <c r="L138" s="44"/>
      <c r="M138" s="37"/>
      <c r="N138" s="37"/>
      <c r="O138" s="37"/>
      <c r="P138" s="37"/>
      <c r="Q138" s="37"/>
      <c r="R138" s="37"/>
      <c r="S138" s="37"/>
      <c r="T138" s="37"/>
      <c r="U138" s="37"/>
      <c r="V138" s="37"/>
      <c r="W138" s="37"/>
    </row>
    <row r="139" spans="1:23" ht="11.25" hidden="1" customHeight="1" x14ac:dyDescent="0.25">
      <c r="A139" s="88" t="str">
        <f>'Org structure'!A14</f>
        <v>Vote 13 - [NAME OF VOTE 13]</v>
      </c>
      <c r="B139" s="368"/>
      <c r="C139" s="397">
        <f>SUM(C140:C149)</f>
        <v>0</v>
      </c>
      <c r="D139" s="367">
        <f t="shared" ref="D139:K139" si="26">SUM(D140:D149)</f>
        <v>0</v>
      </c>
      <c r="E139" s="364">
        <f t="shared" si="26"/>
        <v>0</v>
      </c>
      <c r="F139" s="366">
        <f t="shared" si="26"/>
        <v>0</v>
      </c>
      <c r="G139" s="364">
        <f t="shared" si="26"/>
        <v>0</v>
      </c>
      <c r="H139" s="366">
        <f t="shared" si="26"/>
        <v>0</v>
      </c>
      <c r="I139" s="41">
        <f t="shared" si="24"/>
        <v>0</v>
      </c>
      <c r="J139" s="165" t="str">
        <f t="shared" si="25"/>
        <v/>
      </c>
      <c r="K139" s="365">
        <f t="shared" si="26"/>
        <v>0</v>
      </c>
      <c r="L139" s="44"/>
      <c r="M139" s="37"/>
      <c r="N139" s="37"/>
      <c r="O139" s="37"/>
      <c r="P139" s="37"/>
      <c r="Q139" s="37"/>
      <c r="R139" s="37"/>
      <c r="S139" s="37"/>
      <c r="T139" s="37"/>
      <c r="U139" s="37"/>
      <c r="V139" s="37"/>
      <c r="W139" s="37"/>
    </row>
    <row r="140" spans="1:23" ht="11.25" hidden="1" customHeight="1" x14ac:dyDescent="0.25">
      <c r="A140" s="36" t="str">
        <f>'Org structure'!E135</f>
        <v>13.1 - [Name of sub-vote]</v>
      </c>
      <c r="B140" s="368"/>
      <c r="C140" s="521"/>
      <c r="D140" s="522"/>
      <c r="E140" s="523"/>
      <c r="F140" s="524"/>
      <c r="G140" s="523"/>
      <c r="H140" s="524"/>
      <c r="I140" s="41">
        <f t="shared" si="24"/>
        <v>0</v>
      </c>
      <c r="J140" s="165" t="str">
        <f t="shared" si="25"/>
        <v/>
      </c>
      <c r="K140" s="525"/>
      <c r="L140" s="44"/>
      <c r="M140" s="37"/>
      <c r="N140" s="37"/>
      <c r="O140" s="37"/>
      <c r="P140" s="37"/>
      <c r="Q140" s="37"/>
      <c r="R140" s="37"/>
      <c r="S140" s="37"/>
      <c r="T140" s="37"/>
      <c r="U140" s="37"/>
      <c r="V140" s="37"/>
      <c r="W140" s="37"/>
    </row>
    <row r="141" spans="1:23" ht="11.25" hidden="1" customHeight="1" x14ac:dyDescent="0.25">
      <c r="A141" s="36">
        <f>'Org structure'!E136</f>
        <v>0</v>
      </c>
      <c r="B141" s="368"/>
      <c r="C141" s="521"/>
      <c r="D141" s="522"/>
      <c r="E141" s="523"/>
      <c r="F141" s="524"/>
      <c r="G141" s="523"/>
      <c r="H141" s="524"/>
      <c r="I141" s="41">
        <f t="shared" si="24"/>
        <v>0</v>
      </c>
      <c r="J141" s="165" t="str">
        <f t="shared" si="25"/>
        <v/>
      </c>
      <c r="K141" s="525"/>
      <c r="L141" s="44"/>
      <c r="M141" s="37"/>
      <c r="N141" s="37"/>
      <c r="O141" s="37"/>
      <c r="P141" s="37"/>
      <c r="Q141" s="37"/>
      <c r="R141" s="37"/>
      <c r="S141" s="37"/>
      <c r="T141" s="37"/>
      <c r="U141" s="37"/>
      <c r="V141" s="37"/>
      <c r="W141" s="37"/>
    </row>
    <row r="142" spans="1:23" ht="11.25" hidden="1" customHeight="1" x14ac:dyDescent="0.25">
      <c r="A142" s="36">
        <f>'Org structure'!E137</f>
        <v>0</v>
      </c>
      <c r="B142" s="368"/>
      <c r="C142" s="521"/>
      <c r="D142" s="522"/>
      <c r="E142" s="523"/>
      <c r="F142" s="524"/>
      <c r="G142" s="523"/>
      <c r="H142" s="524"/>
      <c r="I142" s="41">
        <f t="shared" si="24"/>
        <v>0</v>
      </c>
      <c r="J142" s="165" t="str">
        <f t="shared" si="25"/>
        <v/>
      </c>
      <c r="K142" s="525"/>
      <c r="L142" s="44"/>
      <c r="M142" s="37"/>
      <c r="N142" s="37"/>
      <c r="O142" s="37"/>
      <c r="P142" s="37"/>
      <c r="Q142" s="37"/>
      <c r="R142" s="37"/>
      <c r="S142" s="37"/>
      <c r="T142" s="37"/>
      <c r="U142" s="37"/>
      <c r="V142" s="37"/>
      <c r="W142" s="37"/>
    </row>
    <row r="143" spans="1:23" ht="11.25" hidden="1" customHeight="1" x14ac:dyDescent="0.25">
      <c r="A143" s="36">
        <f>'Org structure'!E138</f>
        <v>0</v>
      </c>
      <c r="B143" s="368"/>
      <c r="C143" s="521"/>
      <c r="D143" s="522"/>
      <c r="E143" s="523"/>
      <c r="F143" s="524"/>
      <c r="G143" s="523"/>
      <c r="H143" s="524"/>
      <c r="I143" s="41">
        <f t="shared" si="24"/>
        <v>0</v>
      </c>
      <c r="J143" s="165" t="str">
        <f t="shared" si="25"/>
        <v/>
      </c>
      <c r="K143" s="708"/>
      <c r="L143" s="44"/>
      <c r="M143" s="37"/>
      <c r="N143" s="37"/>
      <c r="O143" s="37"/>
      <c r="P143" s="37"/>
      <c r="Q143" s="37"/>
      <c r="R143" s="37"/>
      <c r="S143" s="37"/>
      <c r="T143" s="37"/>
      <c r="U143" s="37"/>
      <c r="V143" s="37"/>
      <c r="W143" s="37"/>
    </row>
    <row r="144" spans="1:23" ht="11.25" hidden="1" customHeight="1" x14ac:dyDescent="0.25">
      <c r="A144" s="36">
        <f>'Org structure'!E139</f>
        <v>0</v>
      </c>
      <c r="B144" s="368"/>
      <c r="C144" s="521"/>
      <c r="D144" s="522"/>
      <c r="E144" s="523"/>
      <c r="F144" s="524"/>
      <c r="G144" s="523"/>
      <c r="H144" s="524"/>
      <c r="I144" s="41">
        <f t="shared" si="24"/>
        <v>0</v>
      </c>
      <c r="J144" s="165" t="str">
        <f t="shared" si="25"/>
        <v/>
      </c>
      <c r="K144" s="525"/>
      <c r="L144" s="44"/>
      <c r="M144" s="37"/>
      <c r="N144" s="37"/>
      <c r="O144" s="37"/>
      <c r="P144" s="37"/>
      <c r="Q144" s="37"/>
      <c r="R144" s="37"/>
      <c r="S144" s="37"/>
      <c r="T144" s="37"/>
      <c r="U144" s="37"/>
      <c r="V144" s="37"/>
      <c r="W144" s="37"/>
    </row>
    <row r="145" spans="1:23" ht="11.25" hidden="1" customHeight="1" x14ac:dyDescent="0.25">
      <c r="A145" s="36">
        <f>'Org structure'!E140</f>
        <v>0</v>
      </c>
      <c r="B145" s="368"/>
      <c r="C145" s="521"/>
      <c r="D145" s="522"/>
      <c r="E145" s="523"/>
      <c r="F145" s="524"/>
      <c r="G145" s="523"/>
      <c r="H145" s="524"/>
      <c r="I145" s="41">
        <f t="shared" si="24"/>
        <v>0</v>
      </c>
      <c r="J145" s="165" t="str">
        <f t="shared" si="25"/>
        <v/>
      </c>
      <c r="K145" s="525"/>
      <c r="L145" s="44"/>
      <c r="M145" s="37"/>
      <c r="N145" s="37"/>
      <c r="O145" s="37"/>
      <c r="P145" s="37"/>
      <c r="Q145" s="37"/>
      <c r="R145" s="37"/>
      <c r="S145" s="37"/>
      <c r="T145" s="37"/>
      <c r="U145" s="37"/>
      <c r="V145" s="37"/>
      <c r="W145" s="37"/>
    </row>
    <row r="146" spans="1:23" ht="11.25" hidden="1" customHeight="1" x14ac:dyDescent="0.25">
      <c r="A146" s="36">
        <f>'Org structure'!E141</f>
        <v>0</v>
      </c>
      <c r="B146" s="368"/>
      <c r="C146" s="521"/>
      <c r="D146" s="522"/>
      <c r="E146" s="523"/>
      <c r="F146" s="524"/>
      <c r="G146" s="523"/>
      <c r="H146" s="524"/>
      <c r="I146" s="41">
        <f t="shared" si="24"/>
        <v>0</v>
      </c>
      <c r="J146" s="165" t="str">
        <f t="shared" si="25"/>
        <v/>
      </c>
      <c r="K146" s="525"/>
      <c r="L146" s="44"/>
      <c r="M146" s="37"/>
      <c r="N146" s="37"/>
      <c r="O146" s="37"/>
      <c r="P146" s="37"/>
      <c r="Q146" s="37"/>
      <c r="R146" s="37"/>
      <c r="S146" s="37"/>
      <c r="T146" s="37"/>
      <c r="U146" s="37"/>
      <c r="V146" s="37"/>
      <c r="W146" s="37"/>
    </row>
    <row r="147" spans="1:23" ht="11.25" hidden="1" customHeight="1" x14ac:dyDescent="0.25">
      <c r="A147" s="36">
        <f>'Org structure'!E142</f>
        <v>0</v>
      </c>
      <c r="B147" s="368"/>
      <c r="C147" s="521"/>
      <c r="D147" s="522"/>
      <c r="E147" s="523"/>
      <c r="F147" s="524"/>
      <c r="G147" s="523"/>
      <c r="H147" s="524"/>
      <c r="I147" s="41">
        <f t="shared" si="24"/>
        <v>0</v>
      </c>
      <c r="J147" s="165" t="str">
        <f t="shared" si="25"/>
        <v/>
      </c>
      <c r="K147" s="525"/>
      <c r="L147" s="44"/>
      <c r="M147" s="37"/>
      <c r="N147" s="37"/>
      <c r="O147" s="37"/>
      <c r="P147" s="37"/>
      <c r="Q147" s="37"/>
      <c r="R147" s="37"/>
      <c r="S147" s="37"/>
      <c r="T147" s="37"/>
      <c r="U147" s="37"/>
      <c r="V147" s="37"/>
      <c r="W147" s="37"/>
    </row>
    <row r="148" spans="1:23" ht="11.25" hidden="1" customHeight="1" x14ac:dyDescent="0.25">
      <c r="A148" s="36">
        <f>'Org structure'!E143</f>
        <v>0</v>
      </c>
      <c r="B148" s="368"/>
      <c r="C148" s="521"/>
      <c r="D148" s="522"/>
      <c r="E148" s="523"/>
      <c r="F148" s="524"/>
      <c r="G148" s="523"/>
      <c r="H148" s="524"/>
      <c r="I148" s="41">
        <f t="shared" si="24"/>
        <v>0</v>
      </c>
      <c r="J148" s="165" t="str">
        <f t="shared" si="25"/>
        <v/>
      </c>
      <c r="K148" s="525"/>
      <c r="L148" s="44"/>
      <c r="M148" s="37"/>
      <c r="N148" s="37"/>
      <c r="O148" s="37"/>
      <c r="P148" s="37"/>
      <c r="Q148" s="37"/>
      <c r="R148" s="37"/>
      <c r="S148" s="37"/>
      <c r="T148" s="37"/>
      <c r="U148" s="37"/>
      <c r="V148" s="37"/>
      <c r="W148" s="37"/>
    </row>
    <row r="149" spans="1:23" ht="11.25" hidden="1" customHeight="1" x14ac:dyDescent="0.25">
      <c r="A149" s="36">
        <f>'Org structure'!E144</f>
        <v>0</v>
      </c>
      <c r="B149" s="368"/>
      <c r="C149" s="521"/>
      <c r="D149" s="522"/>
      <c r="E149" s="523"/>
      <c r="F149" s="524"/>
      <c r="G149" s="523"/>
      <c r="H149" s="524"/>
      <c r="I149" s="41">
        <f t="shared" si="24"/>
        <v>0</v>
      </c>
      <c r="J149" s="165" t="str">
        <f t="shared" si="25"/>
        <v/>
      </c>
      <c r="K149" s="525"/>
      <c r="L149" s="44"/>
      <c r="M149" s="37"/>
      <c r="N149" s="37"/>
      <c r="O149" s="37"/>
      <c r="P149" s="37"/>
      <c r="Q149" s="37"/>
      <c r="R149" s="37"/>
      <c r="S149" s="37"/>
      <c r="T149" s="37"/>
      <c r="U149" s="37"/>
      <c r="V149" s="37"/>
      <c r="W149" s="37"/>
    </row>
    <row r="150" spans="1:23" ht="11.25" hidden="1" customHeight="1" x14ac:dyDescent="0.25">
      <c r="A150" s="88" t="str">
        <f>'Org structure'!A15</f>
        <v>Vote 14 - [NAME OF VOTE 14]</v>
      </c>
      <c r="B150" s="368"/>
      <c r="C150" s="397">
        <f>SUM(C151:C160)</f>
        <v>0</v>
      </c>
      <c r="D150" s="367">
        <f t="shared" ref="D150:K150" si="27">SUM(D151:D160)</f>
        <v>0</v>
      </c>
      <c r="E150" s="364">
        <f t="shared" si="27"/>
        <v>0</v>
      </c>
      <c r="F150" s="366">
        <f t="shared" si="27"/>
        <v>0</v>
      </c>
      <c r="G150" s="364">
        <f t="shared" si="27"/>
        <v>0</v>
      </c>
      <c r="H150" s="366">
        <f t="shared" si="27"/>
        <v>0</v>
      </c>
      <c r="I150" s="41">
        <f t="shared" si="24"/>
        <v>0</v>
      </c>
      <c r="J150" s="165" t="str">
        <f t="shared" si="25"/>
        <v/>
      </c>
      <c r="K150" s="365">
        <f t="shared" si="27"/>
        <v>0</v>
      </c>
      <c r="L150" s="44"/>
      <c r="M150" s="37"/>
      <c r="N150" s="37"/>
      <c r="O150" s="37"/>
      <c r="P150" s="37"/>
      <c r="Q150" s="37"/>
      <c r="R150" s="37"/>
      <c r="S150" s="37"/>
      <c r="T150" s="37"/>
      <c r="U150" s="37"/>
      <c r="V150" s="37"/>
      <c r="W150" s="37"/>
    </row>
    <row r="151" spans="1:23" ht="11.25" hidden="1" customHeight="1" x14ac:dyDescent="0.25">
      <c r="A151" s="36" t="str">
        <f>'Org structure'!E146</f>
        <v>14.1 - [Name of sub-vote]</v>
      </c>
      <c r="B151" s="368"/>
      <c r="C151" s="521"/>
      <c r="D151" s="522"/>
      <c r="E151" s="523"/>
      <c r="F151" s="524"/>
      <c r="G151" s="523"/>
      <c r="H151" s="524"/>
      <c r="I151" s="41">
        <f t="shared" si="24"/>
        <v>0</v>
      </c>
      <c r="J151" s="165" t="str">
        <f t="shared" si="25"/>
        <v/>
      </c>
      <c r="K151" s="525"/>
      <c r="L151" s="44"/>
      <c r="M151" s="37"/>
      <c r="N151" s="37"/>
      <c r="O151" s="37"/>
      <c r="P151" s="37"/>
      <c r="Q151" s="37"/>
      <c r="R151" s="37"/>
      <c r="S151" s="37"/>
      <c r="T151" s="37"/>
      <c r="U151" s="37"/>
      <c r="V151" s="37"/>
      <c r="W151" s="37"/>
    </row>
    <row r="152" spans="1:23" ht="11.25" hidden="1" customHeight="1" x14ac:dyDescent="0.25">
      <c r="A152" s="36">
        <f>'Org structure'!E147</f>
        <v>0</v>
      </c>
      <c r="B152" s="368"/>
      <c r="C152" s="521"/>
      <c r="D152" s="522"/>
      <c r="E152" s="523"/>
      <c r="F152" s="524"/>
      <c r="G152" s="523"/>
      <c r="H152" s="524"/>
      <c r="I152" s="41">
        <f t="shared" si="24"/>
        <v>0</v>
      </c>
      <c r="J152" s="165" t="str">
        <f t="shared" si="25"/>
        <v/>
      </c>
      <c r="K152" s="525"/>
      <c r="L152" s="44"/>
      <c r="M152" s="37"/>
      <c r="N152" s="37"/>
      <c r="O152" s="37"/>
      <c r="P152" s="37"/>
      <c r="Q152" s="37"/>
      <c r="R152" s="37"/>
      <c r="S152" s="37"/>
      <c r="T152" s="37"/>
      <c r="U152" s="37"/>
      <c r="V152" s="37"/>
      <c r="W152" s="37"/>
    </row>
    <row r="153" spans="1:23" ht="11.25" hidden="1" customHeight="1" x14ac:dyDescent="0.25">
      <c r="A153" s="36">
        <f>'Org structure'!E148</f>
        <v>0</v>
      </c>
      <c r="B153" s="368"/>
      <c r="C153" s="521"/>
      <c r="D153" s="522"/>
      <c r="E153" s="523"/>
      <c r="F153" s="524"/>
      <c r="G153" s="523"/>
      <c r="H153" s="524"/>
      <c r="I153" s="41">
        <f t="shared" si="24"/>
        <v>0</v>
      </c>
      <c r="J153" s="165" t="str">
        <f t="shared" si="25"/>
        <v/>
      </c>
      <c r="K153" s="525"/>
      <c r="L153" s="44"/>
      <c r="M153" s="37"/>
      <c r="N153" s="37"/>
      <c r="O153" s="37"/>
      <c r="P153" s="37"/>
      <c r="Q153" s="37"/>
      <c r="R153" s="37"/>
      <c r="S153" s="37"/>
      <c r="T153" s="37"/>
      <c r="U153" s="37"/>
      <c r="V153" s="37"/>
      <c r="W153" s="37"/>
    </row>
    <row r="154" spans="1:23" ht="11.25" hidden="1" customHeight="1" x14ac:dyDescent="0.25">
      <c r="A154" s="36">
        <f>'Org structure'!E149</f>
        <v>0</v>
      </c>
      <c r="B154" s="368"/>
      <c r="C154" s="521"/>
      <c r="D154" s="522"/>
      <c r="E154" s="523"/>
      <c r="F154" s="524"/>
      <c r="G154" s="523"/>
      <c r="H154" s="524"/>
      <c r="I154" s="41">
        <f t="shared" si="24"/>
        <v>0</v>
      </c>
      <c r="J154" s="165" t="str">
        <f t="shared" si="25"/>
        <v/>
      </c>
      <c r="K154" s="525"/>
      <c r="L154" s="44"/>
      <c r="M154" s="37"/>
      <c r="N154" s="37"/>
      <c r="O154" s="37"/>
      <c r="P154" s="37"/>
      <c r="Q154" s="37"/>
      <c r="R154" s="37"/>
      <c r="S154" s="37"/>
      <c r="T154" s="37"/>
      <c r="U154" s="37"/>
      <c r="V154" s="37"/>
      <c r="W154" s="37"/>
    </row>
    <row r="155" spans="1:23" ht="11.25" hidden="1" customHeight="1" x14ac:dyDescent="0.25">
      <c r="A155" s="36">
        <f>'Org structure'!E150</f>
        <v>0</v>
      </c>
      <c r="B155" s="368"/>
      <c r="C155" s="521"/>
      <c r="D155" s="522"/>
      <c r="E155" s="523"/>
      <c r="F155" s="524"/>
      <c r="G155" s="523"/>
      <c r="H155" s="524"/>
      <c r="I155" s="41">
        <f t="shared" si="24"/>
        <v>0</v>
      </c>
      <c r="J155" s="165" t="str">
        <f t="shared" si="25"/>
        <v/>
      </c>
      <c r="K155" s="525"/>
      <c r="L155" s="44"/>
      <c r="M155" s="37"/>
      <c r="N155" s="37"/>
      <c r="O155" s="37"/>
      <c r="P155" s="37"/>
      <c r="Q155" s="37"/>
      <c r="R155" s="37"/>
      <c r="S155" s="37"/>
      <c r="T155" s="37"/>
      <c r="U155" s="37"/>
      <c r="V155" s="37"/>
      <c r="W155" s="37"/>
    </row>
    <row r="156" spans="1:23" ht="11.25" hidden="1" customHeight="1" x14ac:dyDescent="0.25">
      <c r="A156" s="36">
        <f>'Org structure'!E151</f>
        <v>0</v>
      </c>
      <c r="B156" s="368"/>
      <c r="C156" s="521"/>
      <c r="D156" s="522"/>
      <c r="E156" s="523"/>
      <c r="F156" s="524"/>
      <c r="G156" s="523"/>
      <c r="H156" s="524"/>
      <c r="I156" s="41">
        <f t="shared" si="24"/>
        <v>0</v>
      </c>
      <c r="J156" s="165" t="str">
        <f t="shared" si="25"/>
        <v/>
      </c>
      <c r="K156" s="525"/>
      <c r="L156" s="44"/>
      <c r="M156" s="37"/>
      <c r="N156" s="37"/>
      <c r="O156" s="37"/>
      <c r="P156" s="37"/>
      <c r="Q156" s="37"/>
      <c r="R156" s="37"/>
      <c r="S156" s="37"/>
      <c r="T156" s="37"/>
      <c r="U156" s="37"/>
      <c r="V156" s="37"/>
      <c r="W156" s="37"/>
    </row>
    <row r="157" spans="1:23" ht="11.25" hidden="1" customHeight="1" x14ac:dyDescent="0.25">
      <c r="A157" s="36">
        <f>'Org structure'!E152</f>
        <v>0</v>
      </c>
      <c r="B157" s="368"/>
      <c r="C157" s="521"/>
      <c r="D157" s="522"/>
      <c r="E157" s="523"/>
      <c r="F157" s="524"/>
      <c r="G157" s="523"/>
      <c r="H157" s="524"/>
      <c r="I157" s="41">
        <f t="shared" si="24"/>
        <v>0</v>
      </c>
      <c r="J157" s="165" t="str">
        <f t="shared" si="25"/>
        <v/>
      </c>
      <c r="K157" s="525"/>
      <c r="L157" s="44"/>
      <c r="M157" s="37"/>
      <c r="N157" s="37"/>
      <c r="O157" s="37"/>
      <c r="P157" s="37"/>
      <c r="Q157" s="37"/>
      <c r="R157" s="37"/>
      <c r="S157" s="37"/>
      <c r="T157" s="37"/>
      <c r="U157" s="37"/>
      <c r="V157" s="37"/>
      <c r="W157" s="37"/>
    </row>
    <row r="158" spans="1:23" ht="11.25" hidden="1" customHeight="1" x14ac:dyDescent="0.25">
      <c r="A158" s="36">
        <f>'Org structure'!E153</f>
        <v>0</v>
      </c>
      <c r="B158" s="368"/>
      <c r="C158" s="521"/>
      <c r="D158" s="522"/>
      <c r="E158" s="523"/>
      <c r="F158" s="524"/>
      <c r="G158" s="523"/>
      <c r="H158" s="524"/>
      <c r="I158" s="41">
        <f t="shared" si="24"/>
        <v>0</v>
      </c>
      <c r="J158" s="165" t="str">
        <f t="shared" si="25"/>
        <v/>
      </c>
      <c r="K158" s="525"/>
      <c r="L158" s="44"/>
      <c r="M158" s="37"/>
      <c r="N158" s="37"/>
      <c r="O158" s="37"/>
      <c r="P158" s="37"/>
      <c r="Q158" s="37"/>
      <c r="R158" s="37"/>
      <c r="S158" s="37"/>
      <c r="T158" s="37"/>
      <c r="U158" s="37"/>
      <c r="V158" s="37"/>
      <c r="W158" s="37"/>
    </row>
    <row r="159" spans="1:23" ht="11.25" hidden="1" customHeight="1" x14ac:dyDescent="0.25">
      <c r="A159" s="36">
        <f>'Org structure'!E154</f>
        <v>0</v>
      </c>
      <c r="B159" s="368"/>
      <c r="C159" s="521"/>
      <c r="D159" s="522"/>
      <c r="E159" s="523"/>
      <c r="F159" s="524"/>
      <c r="G159" s="523"/>
      <c r="H159" s="524"/>
      <c r="I159" s="41">
        <f t="shared" si="24"/>
        <v>0</v>
      </c>
      <c r="J159" s="165" t="str">
        <f t="shared" si="25"/>
        <v/>
      </c>
      <c r="K159" s="525"/>
      <c r="L159" s="44"/>
      <c r="M159" s="37"/>
      <c r="N159" s="37"/>
      <c r="O159" s="37"/>
      <c r="P159" s="37"/>
      <c r="Q159" s="37"/>
      <c r="R159" s="37"/>
      <c r="S159" s="37"/>
      <c r="T159" s="37"/>
      <c r="U159" s="37"/>
      <c r="V159" s="37"/>
      <c r="W159" s="37"/>
    </row>
    <row r="160" spans="1:23" ht="11.25" hidden="1" customHeight="1" x14ac:dyDescent="0.25">
      <c r="A160" s="36">
        <f>'Org structure'!E155</f>
        <v>0</v>
      </c>
      <c r="B160" s="368"/>
      <c r="C160" s="521"/>
      <c r="D160" s="522"/>
      <c r="E160" s="523"/>
      <c r="F160" s="524"/>
      <c r="G160" s="523"/>
      <c r="H160" s="524"/>
      <c r="I160" s="41">
        <f t="shared" si="24"/>
        <v>0</v>
      </c>
      <c r="J160" s="165" t="str">
        <f t="shared" si="25"/>
        <v/>
      </c>
      <c r="K160" s="525"/>
      <c r="L160" s="44"/>
      <c r="M160" s="37"/>
      <c r="N160" s="37"/>
      <c r="O160" s="37"/>
      <c r="P160" s="37"/>
      <c r="Q160" s="37"/>
      <c r="R160" s="37"/>
      <c r="S160" s="37"/>
      <c r="T160" s="37"/>
      <c r="U160" s="37"/>
      <c r="V160" s="37"/>
      <c r="W160" s="37"/>
    </row>
    <row r="161" spans="1:23" ht="11.25" hidden="1" customHeight="1" x14ac:dyDescent="0.25">
      <c r="A161" s="88" t="str">
        <f>'Org structure'!A16</f>
        <v>Vote 15 - [NAME OF VOTE 15]</v>
      </c>
      <c r="B161" s="368"/>
      <c r="C161" s="397">
        <f>SUM(C162:C171)</f>
        <v>0</v>
      </c>
      <c r="D161" s="367">
        <f t="shared" ref="D161:K161" si="28">SUM(D162:D171)</f>
        <v>0</v>
      </c>
      <c r="E161" s="364">
        <f t="shared" si="28"/>
        <v>0</v>
      </c>
      <c r="F161" s="366">
        <f t="shared" si="28"/>
        <v>0</v>
      </c>
      <c r="G161" s="364">
        <f t="shared" si="28"/>
        <v>0</v>
      </c>
      <c r="H161" s="366">
        <f t="shared" si="28"/>
        <v>0</v>
      </c>
      <c r="I161" s="41">
        <f t="shared" si="24"/>
        <v>0</v>
      </c>
      <c r="J161" s="165" t="str">
        <f t="shared" si="25"/>
        <v/>
      </c>
      <c r="K161" s="365">
        <f t="shared" si="28"/>
        <v>0</v>
      </c>
      <c r="L161" s="44"/>
      <c r="M161" s="37"/>
      <c r="N161" s="37"/>
      <c r="O161" s="37"/>
      <c r="P161" s="37"/>
      <c r="Q161" s="37"/>
      <c r="R161" s="37"/>
      <c r="S161" s="37"/>
      <c r="T161" s="37"/>
      <c r="U161" s="37"/>
      <c r="V161" s="37"/>
      <c r="W161" s="37"/>
    </row>
    <row r="162" spans="1:23" ht="11.25" hidden="1" customHeight="1" x14ac:dyDescent="0.25">
      <c r="A162" s="36" t="str">
        <f>'Org structure'!E157</f>
        <v>15.1 - [Name of sub-vote]</v>
      </c>
      <c r="B162" s="368"/>
      <c r="C162" s="521"/>
      <c r="D162" s="522"/>
      <c r="E162" s="523"/>
      <c r="F162" s="524"/>
      <c r="G162" s="523"/>
      <c r="H162" s="524"/>
      <c r="I162" s="41">
        <f t="shared" si="24"/>
        <v>0</v>
      </c>
      <c r="J162" s="165" t="str">
        <f t="shared" si="25"/>
        <v/>
      </c>
      <c r="K162" s="525"/>
      <c r="L162" s="44"/>
      <c r="M162" s="37"/>
      <c r="N162" s="37"/>
      <c r="O162" s="37"/>
      <c r="P162" s="37"/>
      <c r="Q162" s="37"/>
      <c r="R162" s="37"/>
      <c r="S162" s="37"/>
      <c r="T162" s="37"/>
      <c r="U162" s="37"/>
      <c r="V162" s="37"/>
      <c r="W162" s="37"/>
    </row>
    <row r="163" spans="1:23" ht="11.25" hidden="1" customHeight="1" x14ac:dyDescent="0.25">
      <c r="A163" s="36">
        <f>'Org structure'!E158</f>
        <v>0</v>
      </c>
      <c r="B163" s="368"/>
      <c r="C163" s="521"/>
      <c r="D163" s="522"/>
      <c r="E163" s="523"/>
      <c r="F163" s="524"/>
      <c r="G163" s="523"/>
      <c r="H163" s="524"/>
      <c r="I163" s="41">
        <f t="shared" si="24"/>
        <v>0</v>
      </c>
      <c r="J163" s="165" t="str">
        <f t="shared" si="25"/>
        <v/>
      </c>
      <c r="K163" s="525"/>
      <c r="L163" s="44"/>
      <c r="M163" s="37"/>
      <c r="N163" s="37"/>
      <c r="O163" s="37"/>
      <c r="P163" s="37"/>
      <c r="Q163" s="37"/>
      <c r="R163" s="37"/>
      <c r="S163" s="37"/>
      <c r="T163" s="37"/>
      <c r="U163" s="37"/>
      <c r="V163" s="37"/>
      <c r="W163" s="37"/>
    </row>
    <row r="164" spans="1:23" ht="11.25" hidden="1" customHeight="1" x14ac:dyDescent="0.25">
      <c r="A164" s="36">
        <f>'Org structure'!E159</f>
        <v>0</v>
      </c>
      <c r="B164" s="368"/>
      <c r="C164" s="521"/>
      <c r="D164" s="522"/>
      <c r="E164" s="523"/>
      <c r="F164" s="524"/>
      <c r="G164" s="523"/>
      <c r="H164" s="524"/>
      <c r="I164" s="41">
        <f t="shared" si="24"/>
        <v>0</v>
      </c>
      <c r="J164" s="165" t="str">
        <f t="shared" si="25"/>
        <v/>
      </c>
      <c r="K164" s="525"/>
      <c r="L164" s="44"/>
      <c r="M164" s="37"/>
      <c r="N164" s="37"/>
      <c r="O164" s="37"/>
      <c r="P164" s="37"/>
      <c r="Q164" s="37"/>
      <c r="R164" s="37"/>
      <c r="S164" s="37"/>
      <c r="T164" s="37"/>
      <c r="U164" s="37"/>
      <c r="V164" s="37"/>
      <c r="W164" s="37"/>
    </row>
    <row r="165" spans="1:23" ht="11.25" hidden="1" customHeight="1" x14ac:dyDescent="0.25">
      <c r="A165" s="36">
        <f>'Org structure'!E160</f>
        <v>0</v>
      </c>
      <c r="B165" s="368"/>
      <c r="C165" s="521"/>
      <c r="D165" s="522"/>
      <c r="E165" s="523"/>
      <c r="F165" s="524"/>
      <c r="G165" s="523"/>
      <c r="H165" s="524"/>
      <c r="I165" s="41">
        <f t="shared" si="24"/>
        <v>0</v>
      </c>
      <c r="J165" s="165" t="str">
        <f t="shared" si="25"/>
        <v/>
      </c>
      <c r="K165" s="525"/>
      <c r="L165" s="44"/>
      <c r="M165" s="37"/>
      <c r="N165" s="37"/>
      <c r="O165" s="37"/>
      <c r="P165" s="37"/>
      <c r="Q165" s="37"/>
      <c r="R165" s="37"/>
      <c r="S165" s="37"/>
      <c r="T165" s="37"/>
      <c r="U165" s="37"/>
      <c r="V165" s="37"/>
      <c r="W165" s="37"/>
    </row>
    <row r="166" spans="1:23" ht="11.25" hidden="1" customHeight="1" x14ac:dyDescent="0.25">
      <c r="A166" s="36">
        <f>'Org structure'!E161</f>
        <v>0</v>
      </c>
      <c r="B166" s="368"/>
      <c r="C166" s="521"/>
      <c r="D166" s="522"/>
      <c r="E166" s="523"/>
      <c r="F166" s="524"/>
      <c r="G166" s="523"/>
      <c r="H166" s="524"/>
      <c r="I166" s="41">
        <f t="shared" si="24"/>
        <v>0</v>
      </c>
      <c r="J166" s="165" t="str">
        <f t="shared" si="25"/>
        <v/>
      </c>
      <c r="K166" s="525"/>
      <c r="L166" s="44"/>
      <c r="M166" s="37"/>
      <c r="N166" s="37"/>
      <c r="O166" s="37"/>
      <c r="P166" s="37"/>
      <c r="Q166" s="37"/>
      <c r="R166" s="37"/>
      <c r="S166" s="37"/>
      <c r="T166" s="37"/>
      <c r="U166" s="37"/>
      <c r="V166" s="37"/>
      <c r="W166" s="37"/>
    </row>
    <row r="167" spans="1:23" ht="11.25" hidden="1" customHeight="1" x14ac:dyDescent="0.25">
      <c r="A167" s="36">
        <f>'Org structure'!E162</f>
        <v>0</v>
      </c>
      <c r="B167" s="368"/>
      <c r="C167" s="521"/>
      <c r="D167" s="522"/>
      <c r="E167" s="523"/>
      <c r="F167" s="524"/>
      <c r="G167" s="523"/>
      <c r="H167" s="524"/>
      <c r="I167" s="41">
        <f t="shared" si="24"/>
        <v>0</v>
      </c>
      <c r="J167" s="165" t="str">
        <f t="shared" si="25"/>
        <v/>
      </c>
      <c r="K167" s="525"/>
      <c r="L167" s="44"/>
      <c r="M167" s="37"/>
      <c r="N167" s="37"/>
      <c r="O167" s="37"/>
      <c r="P167" s="37"/>
      <c r="Q167" s="37"/>
      <c r="R167" s="37"/>
      <c r="S167" s="37"/>
      <c r="T167" s="37"/>
      <c r="U167" s="37"/>
      <c r="V167" s="37"/>
      <c r="W167" s="37"/>
    </row>
    <row r="168" spans="1:23" ht="11.25" hidden="1" customHeight="1" x14ac:dyDescent="0.25">
      <c r="A168" s="36">
        <f>'Org structure'!E163</f>
        <v>0</v>
      </c>
      <c r="B168" s="368"/>
      <c r="C168" s="521"/>
      <c r="D168" s="522"/>
      <c r="E168" s="523"/>
      <c r="F168" s="524"/>
      <c r="G168" s="523"/>
      <c r="H168" s="524"/>
      <c r="I168" s="41">
        <f t="shared" si="24"/>
        <v>0</v>
      </c>
      <c r="J168" s="165" t="str">
        <f t="shared" si="25"/>
        <v/>
      </c>
      <c r="K168" s="525"/>
      <c r="L168" s="44"/>
      <c r="M168" s="37"/>
      <c r="N168" s="37"/>
      <c r="O168" s="37"/>
      <c r="P168" s="37"/>
      <c r="Q168" s="37"/>
      <c r="R168" s="37"/>
      <c r="S168" s="37"/>
      <c r="T168" s="37"/>
      <c r="U168" s="37"/>
      <c r="V168" s="37"/>
      <c r="W168" s="37"/>
    </row>
    <row r="169" spans="1:23" ht="11.25" hidden="1" customHeight="1" x14ac:dyDescent="0.25">
      <c r="A169" s="36">
        <f>'Org structure'!E164</f>
        <v>0</v>
      </c>
      <c r="B169" s="368"/>
      <c r="C169" s="521"/>
      <c r="D169" s="522"/>
      <c r="E169" s="523"/>
      <c r="F169" s="524"/>
      <c r="G169" s="523"/>
      <c r="H169" s="524"/>
      <c r="I169" s="41">
        <f t="shared" si="24"/>
        <v>0</v>
      </c>
      <c r="J169" s="165" t="str">
        <f t="shared" si="25"/>
        <v/>
      </c>
      <c r="K169" s="525"/>
      <c r="L169" s="44"/>
      <c r="M169" s="37"/>
      <c r="N169" s="37"/>
      <c r="O169" s="37"/>
      <c r="P169" s="37"/>
      <c r="Q169" s="37"/>
      <c r="R169" s="37"/>
      <c r="S169" s="37"/>
      <c r="T169" s="37"/>
      <c r="U169" s="37"/>
      <c r="V169" s="37"/>
      <c r="W169" s="37"/>
    </row>
    <row r="170" spans="1:23" ht="11.25" hidden="1" customHeight="1" x14ac:dyDescent="0.25">
      <c r="A170" s="36">
        <f>'Org structure'!E165</f>
        <v>0</v>
      </c>
      <c r="B170" s="368"/>
      <c r="C170" s="521"/>
      <c r="D170" s="522"/>
      <c r="E170" s="523"/>
      <c r="F170" s="524"/>
      <c r="G170" s="523"/>
      <c r="H170" s="524"/>
      <c r="I170" s="41">
        <f t="shared" si="24"/>
        <v>0</v>
      </c>
      <c r="J170" s="165" t="str">
        <f t="shared" si="25"/>
        <v/>
      </c>
      <c r="K170" s="525"/>
      <c r="L170" s="44"/>
      <c r="M170" s="37"/>
      <c r="N170" s="37"/>
      <c r="O170" s="37"/>
      <c r="P170" s="37"/>
      <c r="Q170" s="37"/>
      <c r="R170" s="37"/>
      <c r="S170" s="37"/>
      <c r="T170" s="37"/>
      <c r="U170" s="37"/>
      <c r="V170" s="37"/>
      <c r="W170" s="37"/>
    </row>
    <row r="171" spans="1:23" ht="11.25" hidden="1" customHeight="1" x14ac:dyDescent="0.25">
      <c r="A171" s="36">
        <f>'Org structure'!E166</f>
        <v>0</v>
      </c>
      <c r="B171" s="368"/>
      <c r="C171" s="521"/>
      <c r="D171" s="522"/>
      <c r="E171" s="523"/>
      <c r="F171" s="524"/>
      <c r="G171" s="523"/>
      <c r="H171" s="524"/>
      <c r="I171" s="41">
        <f t="shared" si="24"/>
        <v>0</v>
      </c>
      <c r="J171" s="165" t="str">
        <f t="shared" si="25"/>
        <v/>
      </c>
      <c r="K171" s="525"/>
      <c r="L171" s="373">
        <f t="shared" ref="L171:W171" si="29">SUM(L79:L82)</f>
        <v>0</v>
      </c>
      <c r="M171" s="374">
        <f t="shared" si="29"/>
        <v>0</v>
      </c>
      <c r="N171" s="374">
        <f t="shared" si="29"/>
        <v>0</v>
      </c>
      <c r="O171" s="374">
        <f t="shared" si="29"/>
        <v>0</v>
      </c>
      <c r="P171" s="374">
        <f t="shared" si="29"/>
        <v>0</v>
      </c>
      <c r="Q171" s="374">
        <f t="shared" si="29"/>
        <v>0</v>
      </c>
      <c r="R171" s="374">
        <f t="shared" si="29"/>
        <v>0</v>
      </c>
      <c r="S171" s="374">
        <f t="shared" si="29"/>
        <v>0</v>
      </c>
      <c r="T171" s="374">
        <f t="shared" si="29"/>
        <v>0</v>
      </c>
      <c r="U171" s="374">
        <f t="shared" si="29"/>
        <v>0</v>
      </c>
      <c r="V171" s="374">
        <f t="shared" si="29"/>
        <v>0</v>
      </c>
      <c r="W171" s="374">
        <f t="shared" si="29"/>
        <v>0</v>
      </c>
    </row>
    <row r="172" spans="1:23" ht="12.75" customHeight="1" x14ac:dyDescent="0.25">
      <c r="A172" s="38" t="s">
        <v>808</v>
      </c>
      <c r="B172" s="346"/>
      <c r="C172" s="398">
        <f>C7+C18+C29+C40+C51+C62+C73+C84+C95+C106+C117+C128+C139+C150+C161</f>
        <v>0</v>
      </c>
      <c r="D172" s="372">
        <f t="shared" ref="D172:K172" si="30">D7+D18+D29+D40+D51+D62+D73+D84+D95+D106+D117+D128+D139+D150+D161</f>
        <v>172019993</v>
      </c>
      <c r="E172" s="369">
        <f t="shared" si="30"/>
        <v>198775929</v>
      </c>
      <c r="F172" s="371">
        <f t="shared" si="30"/>
        <v>28107119.169999998</v>
      </c>
      <c r="G172" s="369">
        <f t="shared" si="30"/>
        <v>207783896.35000002</v>
      </c>
      <c r="H172" s="371">
        <f t="shared" si="30"/>
        <v>198775929</v>
      </c>
      <c r="I172" s="404">
        <f t="shared" si="24"/>
        <v>9007967.3500000238</v>
      </c>
      <c r="J172" s="405">
        <f t="shared" si="25"/>
        <v>4.5317194065283548E-2</v>
      </c>
      <c r="K172" s="370">
        <f t="shared" si="30"/>
        <v>198775929</v>
      </c>
      <c r="L172" s="44"/>
      <c r="M172" s="37"/>
      <c r="N172" s="37"/>
      <c r="O172" s="37"/>
      <c r="P172" s="37"/>
      <c r="Q172" s="37"/>
      <c r="R172" s="37"/>
      <c r="S172" s="37"/>
      <c r="T172" s="37"/>
      <c r="U172" s="37"/>
      <c r="V172" s="37"/>
      <c r="W172" s="37"/>
    </row>
    <row r="173" spans="1:23" ht="3" customHeight="1" x14ac:dyDescent="0.25">
      <c r="A173" s="80"/>
      <c r="B173" s="353"/>
      <c r="C173" s="271"/>
      <c r="D173" s="96"/>
      <c r="E173" s="95"/>
      <c r="F173" s="303"/>
      <c r="G173" s="95"/>
      <c r="H173" s="303"/>
      <c r="I173" s="95">
        <f t="shared" si="24"/>
        <v>0</v>
      </c>
      <c r="J173" s="110" t="str">
        <f t="shared" si="25"/>
        <v/>
      </c>
      <c r="K173" s="304"/>
      <c r="L173" s="44"/>
      <c r="M173" s="37"/>
      <c r="N173" s="37"/>
      <c r="O173" s="37"/>
      <c r="P173" s="37"/>
      <c r="Q173" s="37"/>
      <c r="R173" s="37"/>
      <c r="S173" s="37"/>
      <c r="T173" s="37"/>
      <c r="U173" s="37"/>
      <c r="V173" s="37"/>
      <c r="W173" s="37"/>
    </row>
    <row r="174" spans="1:23" ht="12" customHeight="1" x14ac:dyDescent="0.25">
      <c r="A174" s="32" t="s">
        <v>807</v>
      </c>
      <c r="B174" s="375"/>
      <c r="C174" s="399"/>
      <c r="D174" s="377"/>
      <c r="E174" s="844"/>
      <c r="F174" s="308"/>
      <c r="G174" s="376"/>
      <c r="H174" s="308"/>
      <c r="I174" s="376"/>
      <c r="J174" s="495"/>
      <c r="K174" s="309"/>
      <c r="L174" s="44"/>
      <c r="M174" s="37"/>
      <c r="N174" s="37"/>
      <c r="O174" s="37"/>
      <c r="P174" s="37"/>
      <c r="Q174" s="37"/>
      <c r="R174" s="37"/>
      <c r="S174" s="37"/>
      <c r="T174" s="37"/>
      <c r="U174" s="37"/>
      <c r="V174" s="37"/>
      <c r="W174" s="37"/>
    </row>
    <row r="175" spans="1:23" ht="11.25" customHeight="1" x14ac:dyDescent="0.25">
      <c r="A175" s="32" t="s">
        <v>811</v>
      </c>
      <c r="B175" s="346">
        <v>1</v>
      </c>
      <c r="C175" s="90"/>
      <c r="D175" s="43"/>
      <c r="E175" s="221"/>
      <c r="F175" s="40"/>
      <c r="G175" s="41"/>
      <c r="H175" s="40"/>
      <c r="I175" s="41">
        <f t="shared" si="24"/>
        <v>0</v>
      </c>
      <c r="J175" s="165" t="str">
        <f t="shared" si="25"/>
        <v/>
      </c>
      <c r="K175" s="42"/>
      <c r="L175" s="44"/>
      <c r="M175" s="37"/>
      <c r="N175" s="37"/>
      <c r="O175" s="37"/>
      <c r="P175" s="37"/>
      <c r="Q175" s="37"/>
      <c r="R175" s="37"/>
      <c r="S175" s="37"/>
      <c r="T175" s="37"/>
      <c r="U175" s="37"/>
      <c r="V175" s="37"/>
      <c r="W175" s="37"/>
    </row>
    <row r="176" spans="1:23" ht="11.25" customHeight="1" x14ac:dyDescent="0.25">
      <c r="A176" s="88" t="str">
        <f>'Org structure'!A2</f>
        <v>Vote 1 - Council General</v>
      </c>
      <c r="B176" s="201"/>
      <c r="C176" s="397">
        <f t="shared" ref="C176:K176" si="31">SUM(C177:C186)</f>
        <v>1701695.36</v>
      </c>
      <c r="D176" s="367">
        <f t="shared" si="31"/>
        <v>5000</v>
      </c>
      <c r="E176" s="845">
        <f t="shared" si="31"/>
        <v>12000</v>
      </c>
      <c r="F176" s="366">
        <f t="shared" si="31"/>
        <v>-6270.92</v>
      </c>
      <c r="G176" s="364">
        <f t="shared" si="31"/>
        <v>0</v>
      </c>
      <c r="H176" s="366">
        <f t="shared" si="31"/>
        <v>12000</v>
      </c>
      <c r="I176" s="41">
        <f t="shared" si="24"/>
        <v>-12000</v>
      </c>
      <c r="J176" s="165">
        <f t="shared" si="25"/>
        <v>-1</v>
      </c>
      <c r="K176" s="365">
        <f t="shared" si="31"/>
        <v>12000</v>
      </c>
      <c r="L176" s="44"/>
      <c r="M176" s="37"/>
      <c r="N176" s="37"/>
      <c r="O176" s="37"/>
      <c r="P176" s="37"/>
      <c r="Q176" s="37"/>
      <c r="R176" s="37"/>
      <c r="S176" s="37"/>
      <c r="T176" s="37"/>
      <c r="U176" s="37"/>
      <c r="V176" s="37"/>
      <c r="W176" s="37"/>
    </row>
    <row r="177" spans="1:23" ht="11.25" customHeight="1" x14ac:dyDescent="0.25">
      <c r="A177" s="36" t="str">
        <f>'Org structure'!E3</f>
        <v>1.1 - Admin</v>
      </c>
      <c r="B177" s="368"/>
      <c r="C177" s="331">
        <v>1666665</v>
      </c>
      <c r="D177" s="328">
        <v>0</v>
      </c>
      <c r="E177" s="531">
        <v>0</v>
      </c>
      <c r="F177" s="378">
        <v>0</v>
      </c>
      <c r="G177" s="329">
        <v>0</v>
      </c>
      <c r="H177" s="378">
        <f t="shared" ref="H177:H178" si="32">E177/12*$X$1</f>
        <v>0</v>
      </c>
      <c r="I177" s="41">
        <f t="shared" si="24"/>
        <v>0</v>
      </c>
      <c r="J177" s="165" t="str">
        <f t="shared" si="25"/>
        <v/>
      </c>
      <c r="K177" s="332">
        <f>E177</f>
        <v>0</v>
      </c>
      <c r="L177" s="44"/>
      <c r="M177" s="37"/>
      <c r="N177" s="37"/>
      <c r="O177" s="37"/>
      <c r="P177" s="37"/>
      <c r="Q177" s="37"/>
      <c r="R177" s="37"/>
      <c r="S177" s="37"/>
      <c r="T177" s="37"/>
      <c r="U177" s="37"/>
      <c r="V177" s="37"/>
      <c r="W177" s="37"/>
    </row>
    <row r="178" spans="1:23" ht="11.25" customHeight="1" x14ac:dyDescent="0.25">
      <c r="A178" s="36" t="str">
        <f>'Org structure'!E4</f>
        <v>1.2 - Mayoral Office</v>
      </c>
      <c r="B178" s="368"/>
      <c r="C178" s="331">
        <v>35030.36</v>
      </c>
      <c r="D178" s="328">
        <v>5000</v>
      </c>
      <c r="E178" s="531">
        <v>12000</v>
      </c>
      <c r="F178" s="378">
        <v>-6270.92</v>
      </c>
      <c r="G178" s="329">
        <v>0</v>
      </c>
      <c r="H178" s="378">
        <f t="shared" si="32"/>
        <v>12000</v>
      </c>
      <c r="I178" s="41">
        <f t="shared" si="24"/>
        <v>-12000</v>
      </c>
      <c r="J178" s="165">
        <f t="shared" si="25"/>
        <v>-1</v>
      </c>
      <c r="K178" s="332">
        <f>E178</f>
        <v>12000</v>
      </c>
      <c r="L178" s="44"/>
      <c r="M178" s="37"/>
      <c r="N178" s="37"/>
      <c r="O178" s="37"/>
      <c r="P178" s="37"/>
      <c r="Q178" s="37"/>
      <c r="R178" s="37"/>
      <c r="S178" s="37"/>
      <c r="T178" s="37"/>
      <c r="U178" s="37"/>
      <c r="V178" s="37"/>
      <c r="W178" s="37"/>
    </row>
    <row r="179" spans="1:23" ht="11.25" customHeight="1" x14ac:dyDescent="0.25">
      <c r="A179" s="36">
        <f>'Org structure'!E5</f>
        <v>0</v>
      </c>
      <c r="B179" s="368"/>
      <c r="C179" s="331"/>
      <c r="D179" s="328"/>
      <c r="E179" s="531"/>
      <c r="F179" s="378"/>
      <c r="G179" s="329"/>
      <c r="H179" s="378"/>
      <c r="I179" s="41">
        <f t="shared" si="24"/>
        <v>0</v>
      </c>
      <c r="J179" s="165" t="str">
        <f t="shared" si="25"/>
        <v/>
      </c>
      <c r="K179" s="332"/>
      <c r="L179" s="44"/>
      <c r="M179" s="37"/>
      <c r="N179" s="37"/>
      <c r="O179" s="37"/>
      <c r="P179" s="37"/>
      <c r="Q179" s="37"/>
      <c r="R179" s="37"/>
      <c r="S179" s="37"/>
      <c r="T179" s="37"/>
      <c r="U179" s="37"/>
      <c r="V179" s="37"/>
      <c r="W179" s="37"/>
    </row>
    <row r="180" spans="1:23" ht="11.25" customHeight="1" x14ac:dyDescent="0.25">
      <c r="A180" s="36">
        <f>'Org structure'!E6</f>
        <v>0</v>
      </c>
      <c r="B180" s="368"/>
      <c r="C180" s="331"/>
      <c r="D180" s="328"/>
      <c r="E180" s="531"/>
      <c r="F180" s="378"/>
      <c r="G180" s="329"/>
      <c r="H180" s="378"/>
      <c r="I180" s="41">
        <f t="shared" si="24"/>
        <v>0</v>
      </c>
      <c r="J180" s="165" t="str">
        <f t="shared" si="25"/>
        <v/>
      </c>
      <c r="K180" s="332"/>
      <c r="L180" s="44"/>
      <c r="M180" s="37"/>
      <c r="N180" s="37"/>
      <c r="O180" s="37"/>
      <c r="P180" s="37"/>
      <c r="Q180" s="37"/>
      <c r="R180" s="37"/>
      <c r="S180" s="37"/>
      <c r="T180" s="37"/>
      <c r="U180" s="37"/>
      <c r="V180" s="37"/>
      <c r="W180" s="37"/>
    </row>
    <row r="181" spans="1:23" ht="11.25" customHeight="1" x14ac:dyDescent="0.25">
      <c r="A181" s="36">
        <f>'Org structure'!E7</f>
        <v>0</v>
      </c>
      <c r="B181" s="368"/>
      <c r="C181" s="331"/>
      <c r="D181" s="328"/>
      <c r="E181" s="531"/>
      <c r="F181" s="378"/>
      <c r="G181" s="329"/>
      <c r="H181" s="378"/>
      <c r="I181" s="41">
        <f t="shared" si="24"/>
        <v>0</v>
      </c>
      <c r="J181" s="165" t="str">
        <f t="shared" si="25"/>
        <v/>
      </c>
      <c r="K181" s="332"/>
      <c r="L181" s="44"/>
      <c r="M181" s="37"/>
      <c r="N181" s="37"/>
      <c r="O181" s="37"/>
      <c r="P181" s="37"/>
      <c r="Q181" s="37"/>
      <c r="R181" s="37"/>
      <c r="S181" s="37"/>
      <c r="T181" s="37"/>
      <c r="U181" s="37"/>
      <c r="V181" s="37"/>
      <c r="W181" s="37"/>
    </row>
    <row r="182" spans="1:23" ht="11.25" customHeight="1" x14ac:dyDescent="0.25">
      <c r="A182" s="36">
        <f>'Org structure'!E8</f>
        <v>0</v>
      </c>
      <c r="B182" s="368"/>
      <c r="C182" s="331"/>
      <c r="D182" s="328"/>
      <c r="E182" s="531"/>
      <c r="F182" s="378"/>
      <c r="G182" s="329"/>
      <c r="H182" s="378"/>
      <c r="I182" s="41">
        <f t="shared" si="24"/>
        <v>0</v>
      </c>
      <c r="J182" s="165" t="str">
        <f t="shared" si="25"/>
        <v/>
      </c>
      <c r="K182" s="332"/>
      <c r="L182" s="44"/>
      <c r="M182" s="37"/>
      <c r="N182" s="37"/>
      <c r="O182" s="37"/>
      <c r="P182" s="37"/>
      <c r="Q182" s="37"/>
      <c r="R182" s="37"/>
      <c r="S182" s="37"/>
      <c r="T182" s="37"/>
      <c r="U182" s="37"/>
      <c r="V182" s="37"/>
      <c r="W182" s="37"/>
    </row>
    <row r="183" spans="1:23" ht="11.25" customHeight="1" x14ac:dyDescent="0.25">
      <c r="A183" s="36">
        <f>'Org structure'!E9</f>
        <v>0</v>
      </c>
      <c r="B183" s="368"/>
      <c r="C183" s="331"/>
      <c r="D183" s="328"/>
      <c r="E183" s="531"/>
      <c r="F183" s="378"/>
      <c r="G183" s="329"/>
      <c r="H183" s="378"/>
      <c r="I183" s="41">
        <f t="shared" si="24"/>
        <v>0</v>
      </c>
      <c r="J183" s="165" t="str">
        <f t="shared" si="25"/>
        <v/>
      </c>
      <c r="K183" s="332"/>
      <c r="L183" s="44"/>
      <c r="M183" s="37"/>
      <c r="N183" s="37"/>
      <c r="O183" s="37"/>
      <c r="P183" s="37"/>
      <c r="Q183" s="37"/>
      <c r="R183" s="37"/>
      <c r="S183" s="37"/>
      <c r="T183" s="37"/>
      <c r="U183" s="37"/>
      <c r="V183" s="37"/>
      <c r="W183" s="37"/>
    </row>
    <row r="184" spans="1:23" ht="11.25" customHeight="1" x14ac:dyDescent="0.25">
      <c r="A184" s="36">
        <f>'Org structure'!E10</f>
        <v>0</v>
      </c>
      <c r="B184" s="368"/>
      <c r="C184" s="331"/>
      <c r="D184" s="328"/>
      <c r="E184" s="531"/>
      <c r="F184" s="378"/>
      <c r="G184" s="329"/>
      <c r="H184" s="378"/>
      <c r="I184" s="41">
        <f t="shared" si="24"/>
        <v>0</v>
      </c>
      <c r="J184" s="165" t="str">
        <f t="shared" si="25"/>
        <v/>
      </c>
      <c r="K184" s="332"/>
      <c r="L184" s="44"/>
      <c r="M184" s="37"/>
      <c r="N184" s="37"/>
      <c r="O184" s="37"/>
      <c r="P184" s="37"/>
      <c r="Q184" s="37"/>
      <c r="R184" s="37"/>
      <c r="S184" s="37"/>
      <c r="T184" s="37"/>
      <c r="U184" s="37"/>
      <c r="V184" s="37"/>
      <c r="W184" s="37"/>
    </row>
    <row r="185" spans="1:23" ht="11.25" customHeight="1" x14ac:dyDescent="0.25">
      <c r="A185" s="36">
        <f>'Org structure'!E11</f>
        <v>0</v>
      </c>
      <c r="B185" s="368"/>
      <c r="C185" s="331"/>
      <c r="D185" s="328"/>
      <c r="E185" s="531"/>
      <c r="F185" s="378"/>
      <c r="G185" s="329"/>
      <c r="H185" s="378"/>
      <c r="I185" s="41">
        <f t="shared" si="24"/>
        <v>0</v>
      </c>
      <c r="J185" s="165" t="str">
        <f t="shared" si="25"/>
        <v/>
      </c>
      <c r="K185" s="332"/>
      <c r="L185" s="44"/>
      <c r="M185" s="37"/>
      <c r="N185" s="37"/>
      <c r="O185" s="37"/>
      <c r="P185" s="37"/>
      <c r="Q185" s="37"/>
      <c r="R185" s="37"/>
      <c r="S185" s="37"/>
      <c r="T185" s="37"/>
      <c r="U185" s="37"/>
      <c r="V185" s="37"/>
      <c r="W185" s="37"/>
    </row>
    <row r="186" spans="1:23" ht="11.25" customHeight="1" x14ac:dyDescent="0.25">
      <c r="A186" s="36">
        <f>'Org structure'!E12</f>
        <v>0</v>
      </c>
      <c r="B186" s="368"/>
      <c r="C186" s="331"/>
      <c r="D186" s="328"/>
      <c r="E186" s="531"/>
      <c r="F186" s="378"/>
      <c r="G186" s="329"/>
      <c r="H186" s="378"/>
      <c r="I186" s="41">
        <f t="shared" si="24"/>
        <v>0</v>
      </c>
      <c r="J186" s="165" t="str">
        <f t="shared" si="25"/>
        <v/>
      </c>
      <c r="K186" s="332"/>
      <c r="L186" s="44"/>
      <c r="M186" s="37"/>
      <c r="N186" s="37"/>
      <c r="O186" s="37"/>
      <c r="P186" s="37"/>
      <c r="Q186" s="37"/>
      <c r="R186" s="37"/>
      <c r="S186" s="37"/>
      <c r="T186" s="37"/>
      <c r="U186" s="37"/>
      <c r="V186" s="37"/>
      <c r="W186" s="37"/>
    </row>
    <row r="187" spans="1:23" ht="11.25" customHeight="1" x14ac:dyDescent="0.25">
      <c r="A187" s="88" t="str">
        <f>'Org structure'!A3</f>
        <v>Vote 2 - Municipal Manager</v>
      </c>
      <c r="B187" s="363"/>
      <c r="C187" s="397">
        <f>SUM(C188:C197)</f>
        <v>8181099.120000001</v>
      </c>
      <c r="D187" s="367">
        <f>SUM(D188:D197)</f>
        <v>5000</v>
      </c>
      <c r="E187" s="845">
        <f>SUM(E188:E197)</f>
        <v>289527</v>
      </c>
      <c r="F187" s="366">
        <f t="shared" ref="F187:K187" si="33">SUM(F188:F197)</f>
        <v>6270.92</v>
      </c>
      <c r="G187" s="364">
        <f t="shared" si="33"/>
        <v>10470.92</v>
      </c>
      <c r="H187" s="366">
        <f t="shared" si="33"/>
        <v>289527</v>
      </c>
      <c r="I187" s="41">
        <f t="shared" si="24"/>
        <v>-279056.08</v>
      </c>
      <c r="J187" s="165">
        <f t="shared" si="25"/>
        <v>-0.96383439195653609</v>
      </c>
      <c r="K187" s="365">
        <f t="shared" si="33"/>
        <v>289527</v>
      </c>
      <c r="L187" s="44"/>
      <c r="M187" s="37"/>
      <c r="N187" s="37"/>
      <c r="O187" s="37"/>
      <c r="P187" s="37"/>
      <c r="Q187" s="37"/>
      <c r="R187" s="37"/>
      <c r="S187" s="37"/>
      <c r="T187" s="37"/>
      <c r="U187" s="37"/>
      <c r="V187" s="37"/>
      <c r="W187" s="37"/>
    </row>
    <row r="188" spans="1:23" ht="11.25" customHeight="1" x14ac:dyDescent="0.25">
      <c r="A188" s="36" t="str">
        <f>'Org structure'!E14</f>
        <v>2.1 - Office Support</v>
      </c>
      <c r="B188" s="368"/>
      <c r="C188" s="331">
        <v>1402.63</v>
      </c>
      <c r="D188" s="328">
        <v>5000</v>
      </c>
      <c r="E188" s="531">
        <v>5000</v>
      </c>
      <c r="F188" s="378">
        <v>6270.92</v>
      </c>
      <c r="G188" s="329">
        <v>10470.92</v>
      </c>
      <c r="H188" s="378">
        <f t="shared" ref="H188:H193" si="34">E188/12*$X$1</f>
        <v>5000</v>
      </c>
      <c r="I188" s="41">
        <f t="shared" si="24"/>
        <v>5470.92</v>
      </c>
      <c r="J188" s="165">
        <f t="shared" si="25"/>
        <v>1.094184</v>
      </c>
      <c r="K188" s="332">
        <f t="shared" ref="K188:K193" si="35">E188</f>
        <v>5000</v>
      </c>
      <c r="L188" s="44"/>
      <c r="M188" s="37"/>
      <c r="N188" s="37"/>
      <c r="O188" s="37"/>
      <c r="P188" s="37"/>
      <c r="Q188" s="37"/>
      <c r="R188" s="37"/>
      <c r="S188" s="37"/>
      <c r="T188" s="37"/>
      <c r="U188" s="37"/>
      <c r="V188" s="37"/>
      <c r="W188" s="37"/>
    </row>
    <row r="189" spans="1:23" ht="11.25" customHeight="1" x14ac:dyDescent="0.25">
      <c r="A189" s="36" t="str">
        <f>'Org structure'!E15</f>
        <v>2.2 - Internal Audit</v>
      </c>
      <c r="B189" s="368"/>
      <c r="C189" s="331">
        <v>0</v>
      </c>
      <c r="D189" s="328">
        <v>0</v>
      </c>
      <c r="E189" s="531">
        <v>0</v>
      </c>
      <c r="F189" s="378">
        <v>0</v>
      </c>
      <c r="G189" s="329">
        <v>0</v>
      </c>
      <c r="H189" s="378">
        <f t="shared" si="34"/>
        <v>0</v>
      </c>
      <c r="I189" s="41">
        <f t="shared" si="24"/>
        <v>0</v>
      </c>
      <c r="J189" s="165" t="str">
        <f t="shared" si="25"/>
        <v/>
      </c>
      <c r="K189" s="332">
        <f t="shared" si="35"/>
        <v>0</v>
      </c>
      <c r="L189" s="44"/>
      <c r="M189" s="37"/>
      <c r="N189" s="37"/>
      <c r="O189" s="37"/>
      <c r="P189" s="37"/>
      <c r="Q189" s="37"/>
      <c r="R189" s="37"/>
      <c r="S189" s="37"/>
      <c r="T189" s="37"/>
      <c r="U189" s="37"/>
      <c r="V189" s="37"/>
      <c r="W189" s="37"/>
    </row>
    <row r="190" spans="1:23" ht="11.25" customHeight="1" x14ac:dyDescent="0.25">
      <c r="A190" s="36" t="str">
        <f>'Org structure'!E16</f>
        <v>2.3 - Project Management</v>
      </c>
      <c r="B190" s="368"/>
      <c r="C190" s="331">
        <v>8179696.4900000012</v>
      </c>
      <c r="D190" s="328">
        <v>0</v>
      </c>
      <c r="E190" s="531">
        <v>284527</v>
      </c>
      <c r="F190" s="378">
        <v>0</v>
      </c>
      <c r="G190" s="329">
        <v>0</v>
      </c>
      <c r="H190" s="378">
        <f t="shared" si="34"/>
        <v>284527</v>
      </c>
      <c r="I190" s="41">
        <f t="shared" si="24"/>
        <v>-284527</v>
      </c>
      <c r="J190" s="165">
        <f t="shared" si="25"/>
        <v>-1</v>
      </c>
      <c r="K190" s="332">
        <f t="shared" si="35"/>
        <v>284527</v>
      </c>
      <c r="L190" s="44"/>
      <c r="M190" s="37"/>
      <c r="N190" s="37"/>
      <c r="O190" s="37"/>
      <c r="P190" s="37"/>
      <c r="Q190" s="37"/>
      <c r="R190" s="37"/>
      <c r="S190" s="37"/>
      <c r="T190" s="37"/>
      <c r="U190" s="37"/>
      <c r="V190" s="37"/>
      <c r="W190" s="37"/>
    </row>
    <row r="191" spans="1:23" ht="11.25" customHeight="1" x14ac:dyDescent="0.25">
      <c r="A191" s="36" t="str">
        <f>'Org structure'!E17</f>
        <v>2.4 - Ombudsman</v>
      </c>
      <c r="B191" s="368"/>
      <c r="C191" s="331">
        <v>0</v>
      </c>
      <c r="D191" s="328">
        <v>0</v>
      </c>
      <c r="E191" s="531">
        <v>0</v>
      </c>
      <c r="F191" s="378">
        <v>0</v>
      </c>
      <c r="G191" s="329">
        <v>0</v>
      </c>
      <c r="H191" s="378">
        <f t="shared" si="34"/>
        <v>0</v>
      </c>
      <c r="I191" s="41">
        <f t="shared" si="24"/>
        <v>0</v>
      </c>
      <c r="J191" s="165" t="str">
        <f t="shared" si="25"/>
        <v/>
      </c>
      <c r="K191" s="332">
        <f t="shared" si="35"/>
        <v>0</v>
      </c>
      <c r="L191" s="44"/>
      <c r="M191" s="37"/>
      <c r="N191" s="37"/>
      <c r="O191" s="37"/>
      <c r="P191" s="37"/>
      <c r="Q191" s="37"/>
      <c r="R191" s="37"/>
      <c r="S191" s="37"/>
      <c r="T191" s="37"/>
      <c r="U191" s="37"/>
      <c r="V191" s="37"/>
      <c r="W191" s="37"/>
    </row>
    <row r="192" spans="1:23" ht="11.25" customHeight="1" x14ac:dyDescent="0.25">
      <c r="A192" s="36" t="str">
        <f>'Org structure'!E18</f>
        <v>2.5 - Enterprise Risk Management</v>
      </c>
      <c r="B192" s="368"/>
      <c r="C192" s="331">
        <v>0</v>
      </c>
      <c r="D192" s="328">
        <v>0</v>
      </c>
      <c r="E192" s="531">
        <v>0</v>
      </c>
      <c r="F192" s="378">
        <v>0</v>
      </c>
      <c r="G192" s="329">
        <v>0</v>
      </c>
      <c r="H192" s="378">
        <f t="shared" si="34"/>
        <v>0</v>
      </c>
      <c r="I192" s="41">
        <f t="shared" si="24"/>
        <v>0</v>
      </c>
      <c r="J192" s="165" t="str">
        <f t="shared" si="25"/>
        <v/>
      </c>
      <c r="K192" s="332">
        <f t="shared" si="35"/>
        <v>0</v>
      </c>
      <c r="L192" s="44"/>
      <c r="M192" s="37"/>
      <c r="N192" s="37"/>
      <c r="O192" s="37"/>
      <c r="P192" s="37"/>
      <c r="Q192" s="37"/>
      <c r="R192" s="37"/>
      <c r="S192" s="37"/>
      <c r="T192" s="37"/>
      <c r="U192" s="37"/>
      <c r="V192" s="37"/>
      <c r="W192" s="37"/>
    </row>
    <row r="193" spans="1:23" ht="11.25" customHeight="1" x14ac:dyDescent="0.25">
      <c r="A193" s="36" t="str">
        <f>'Org structure'!E19</f>
        <v>2.6 - Jobs4U</v>
      </c>
      <c r="B193" s="368"/>
      <c r="C193" s="331">
        <v>0</v>
      </c>
      <c r="D193" s="328">
        <v>0</v>
      </c>
      <c r="E193" s="531">
        <v>0</v>
      </c>
      <c r="F193" s="378">
        <v>0</v>
      </c>
      <c r="G193" s="329">
        <v>0</v>
      </c>
      <c r="H193" s="378">
        <f t="shared" si="34"/>
        <v>0</v>
      </c>
      <c r="I193" s="41">
        <f t="shared" si="24"/>
        <v>0</v>
      </c>
      <c r="J193" s="165" t="str">
        <f t="shared" si="25"/>
        <v/>
      </c>
      <c r="K193" s="332">
        <f t="shared" si="35"/>
        <v>0</v>
      </c>
      <c r="L193" s="44"/>
      <c r="M193" s="37"/>
      <c r="N193" s="37"/>
      <c r="O193" s="37"/>
      <c r="P193" s="37"/>
      <c r="Q193" s="37"/>
      <c r="R193" s="37"/>
      <c r="S193" s="37"/>
      <c r="T193" s="37"/>
      <c r="U193" s="37"/>
      <c r="V193" s="37"/>
      <c r="W193" s="37"/>
    </row>
    <row r="194" spans="1:23" ht="11.25" customHeight="1" x14ac:dyDescent="0.25">
      <c r="A194" s="36">
        <f>'Org structure'!E20</f>
        <v>0</v>
      </c>
      <c r="B194" s="368"/>
      <c r="C194" s="331"/>
      <c r="D194" s="328"/>
      <c r="E194" s="531"/>
      <c r="F194" s="378"/>
      <c r="G194" s="329"/>
      <c r="H194" s="378"/>
      <c r="I194" s="41">
        <f t="shared" si="24"/>
        <v>0</v>
      </c>
      <c r="J194" s="165" t="str">
        <f t="shared" si="25"/>
        <v/>
      </c>
      <c r="K194" s="332"/>
      <c r="L194" s="44"/>
      <c r="M194" s="37"/>
      <c r="N194" s="37"/>
      <c r="O194" s="37"/>
      <c r="P194" s="37"/>
      <c r="Q194" s="37"/>
      <c r="R194" s="37"/>
      <c r="S194" s="37"/>
      <c r="T194" s="37"/>
      <c r="U194" s="37"/>
      <c r="V194" s="37"/>
      <c r="W194" s="37"/>
    </row>
    <row r="195" spans="1:23" ht="11.25" customHeight="1" x14ac:dyDescent="0.25">
      <c r="A195" s="36">
        <f>'Org structure'!E21</f>
        <v>0</v>
      </c>
      <c r="B195" s="368"/>
      <c r="C195" s="331"/>
      <c r="D195" s="328"/>
      <c r="E195" s="531"/>
      <c r="F195" s="378"/>
      <c r="G195" s="329"/>
      <c r="H195" s="378"/>
      <c r="I195" s="41">
        <f t="shared" si="24"/>
        <v>0</v>
      </c>
      <c r="J195" s="165" t="str">
        <f t="shared" si="25"/>
        <v/>
      </c>
      <c r="K195" s="332"/>
      <c r="L195" s="44"/>
      <c r="M195" s="37"/>
      <c r="N195" s="37"/>
      <c r="O195" s="37"/>
      <c r="P195" s="37"/>
      <c r="Q195" s="37"/>
      <c r="R195" s="37"/>
      <c r="S195" s="37"/>
      <c r="T195" s="37"/>
      <c r="U195" s="37"/>
      <c r="V195" s="37"/>
      <c r="W195" s="37"/>
    </row>
    <row r="196" spans="1:23" ht="11.25" customHeight="1" x14ac:dyDescent="0.25">
      <c r="A196" s="36">
        <f>'Org structure'!E22</f>
        <v>0</v>
      </c>
      <c r="B196" s="368"/>
      <c r="C196" s="331"/>
      <c r="D196" s="328"/>
      <c r="E196" s="531"/>
      <c r="F196" s="378"/>
      <c r="G196" s="329"/>
      <c r="H196" s="378"/>
      <c r="I196" s="41">
        <f t="shared" si="24"/>
        <v>0</v>
      </c>
      <c r="J196" s="165" t="str">
        <f t="shared" si="25"/>
        <v/>
      </c>
      <c r="K196" s="332"/>
      <c r="L196" s="44"/>
      <c r="M196" s="37"/>
      <c r="N196" s="37"/>
      <c r="O196" s="37"/>
      <c r="P196" s="37"/>
      <c r="Q196" s="37"/>
      <c r="R196" s="37"/>
      <c r="S196" s="37"/>
      <c r="T196" s="37"/>
      <c r="U196" s="37"/>
      <c r="V196" s="37"/>
      <c r="W196" s="37"/>
    </row>
    <row r="197" spans="1:23" ht="11.25" customHeight="1" x14ac:dyDescent="0.25">
      <c r="A197" s="36">
        <f>'Org structure'!E23</f>
        <v>0</v>
      </c>
      <c r="B197" s="368"/>
      <c r="C197" s="331"/>
      <c r="D197" s="328"/>
      <c r="E197" s="531"/>
      <c r="F197" s="378"/>
      <c r="G197" s="329"/>
      <c r="H197" s="378"/>
      <c r="I197" s="41">
        <f t="shared" si="24"/>
        <v>0</v>
      </c>
      <c r="J197" s="165" t="str">
        <f t="shared" si="25"/>
        <v/>
      </c>
      <c r="K197" s="332"/>
      <c r="L197" s="44"/>
      <c r="M197" s="37"/>
      <c r="N197" s="37"/>
      <c r="O197" s="37"/>
      <c r="P197" s="37"/>
      <c r="Q197" s="37"/>
      <c r="R197" s="37"/>
      <c r="S197" s="37"/>
      <c r="T197" s="37"/>
      <c r="U197" s="37"/>
      <c r="V197" s="37"/>
      <c r="W197" s="37"/>
    </row>
    <row r="198" spans="1:23" ht="11.25" customHeight="1" x14ac:dyDescent="0.25">
      <c r="A198" s="88" t="str">
        <f>'Org structure'!A4</f>
        <v>Vote 3 - Strategic Support Services</v>
      </c>
      <c r="B198" s="363"/>
      <c r="C198" s="397">
        <f t="shared" ref="C198:K198" si="36">SUM(C199:C208)</f>
        <v>5352301.6599999992</v>
      </c>
      <c r="D198" s="367">
        <f t="shared" si="36"/>
        <v>7507000</v>
      </c>
      <c r="E198" s="845">
        <f>SUM(E199:E208)</f>
        <v>24065439</v>
      </c>
      <c r="F198" s="366">
        <f t="shared" si="36"/>
        <v>19078.48</v>
      </c>
      <c r="G198" s="364">
        <f t="shared" si="36"/>
        <v>21214274.91</v>
      </c>
      <c r="H198" s="366">
        <f t="shared" si="36"/>
        <v>24065439</v>
      </c>
      <c r="I198" s="41">
        <f t="shared" si="24"/>
        <v>-2851164.09</v>
      </c>
      <c r="J198" s="165">
        <f t="shared" si="25"/>
        <v>-0.11847546558365296</v>
      </c>
      <c r="K198" s="365">
        <f t="shared" si="36"/>
        <v>24065439</v>
      </c>
      <c r="L198" s="44"/>
      <c r="M198" s="37"/>
      <c r="N198" s="37"/>
      <c r="O198" s="37"/>
      <c r="P198" s="37"/>
      <c r="Q198" s="37"/>
      <c r="R198" s="37"/>
      <c r="S198" s="37"/>
      <c r="T198" s="37"/>
      <c r="U198" s="37"/>
      <c r="V198" s="37"/>
      <c r="W198" s="37"/>
    </row>
    <row r="199" spans="1:23" ht="11.25" customHeight="1" x14ac:dyDescent="0.25">
      <c r="A199" s="36" t="str">
        <f>'Org structure'!E25</f>
        <v>3.1 - Administration &amp; Support Services</v>
      </c>
      <c r="B199" s="368"/>
      <c r="C199" s="331">
        <v>264300.96999999997</v>
      </c>
      <c r="D199" s="328">
        <v>2800000</v>
      </c>
      <c r="E199" s="531">
        <v>22025439</v>
      </c>
      <c r="F199" s="378">
        <v>5735</v>
      </c>
      <c r="G199" s="329">
        <v>21197181.43</v>
      </c>
      <c r="H199" s="378">
        <f t="shared" ref="H199:H205" si="37">E199/12*$X$1</f>
        <v>22025439</v>
      </c>
      <c r="I199" s="41">
        <f t="shared" si="24"/>
        <v>-828257.5700000003</v>
      </c>
      <c r="J199" s="165">
        <f t="shared" si="25"/>
        <v>-3.7604588494240698E-2</v>
      </c>
      <c r="K199" s="332">
        <f t="shared" ref="K199:K205" si="38">E199</f>
        <v>22025439</v>
      </c>
      <c r="L199" s="44"/>
      <c r="M199" s="37"/>
      <c r="N199" s="37"/>
      <c r="O199" s="37"/>
      <c r="P199" s="37"/>
      <c r="Q199" s="37"/>
      <c r="R199" s="37"/>
      <c r="S199" s="37"/>
      <c r="T199" s="37"/>
      <c r="U199" s="37"/>
      <c r="V199" s="37"/>
      <c r="W199" s="37"/>
    </row>
    <row r="200" spans="1:23" ht="11.25" customHeight="1" x14ac:dyDescent="0.25">
      <c r="A200" s="36" t="str">
        <f>'Org structure'!E26</f>
        <v>3.2 - Human Resources</v>
      </c>
      <c r="B200" s="368"/>
      <c r="C200" s="331">
        <v>0</v>
      </c>
      <c r="D200" s="328">
        <v>975000</v>
      </c>
      <c r="E200" s="531">
        <v>0</v>
      </c>
      <c r="F200" s="378">
        <v>0</v>
      </c>
      <c r="G200" s="329">
        <v>0</v>
      </c>
      <c r="H200" s="378">
        <f t="shared" si="37"/>
        <v>0</v>
      </c>
      <c r="I200" s="41">
        <f t="shared" ref="I200:I263" si="39">G200-H200</f>
        <v>0</v>
      </c>
      <c r="J200" s="165" t="str">
        <f t="shared" ref="J200:J263" si="40">IF(I200=0,"",I200/H200)</f>
        <v/>
      </c>
      <c r="K200" s="332">
        <f t="shared" si="38"/>
        <v>0</v>
      </c>
      <c r="L200" s="44"/>
      <c r="M200" s="37"/>
      <c r="N200" s="37"/>
      <c r="O200" s="37"/>
      <c r="P200" s="37"/>
      <c r="Q200" s="37"/>
      <c r="R200" s="37"/>
      <c r="S200" s="37"/>
      <c r="T200" s="37"/>
      <c r="U200" s="37"/>
      <c r="V200" s="37"/>
      <c r="W200" s="37"/>
    </row>
    <row r="201" spans="1:23" ht="11.25" customHeight="1" x14ac:dyDescent="0.25">
      <c r="A201" s="36" t="str">
        <f>'Org structure'!E27</f>
        <v>3.3 - Information Communication Technology</v>
      </c>
      <c r="B201" s="368"/>
      <c r="C201" s="331">
        <v>5088000.6899999995</v>
      </c>
      <c r="D201" s="328">
        <v>3300000</v>
      </c>
      <c r="E201" s="531">
        <v>1920000</v>
      </c>
      <c r="F201" s="378">
        <v>0</v>
      </c>
      <c r="G201" s="329">
        <v>0</v>
      </c>
      <c r="H201" s="378">
        <f t="shared" si="37"/>
        <v>1920000</v>
      </c>
      <c r="I201" s="41">
        <f t="shared" si="39"/>
        <v>-1920000</v>
      </c>
      <c r="J201" s="165">
        <f t="shared" si="40"/>
        <v>-1</v>
      </c>
      <c r="K201" s="332">
        <f t="shared" si="38"/>
        <v>1920000</v>
      </c>
      <c r="L201" s="44"/>
      <c r="M201" s="37"/>
      <c r="N201" s="37"/>
      <c r="O201" s="37"/>
      <c r="P201" s="37"/>
      <c r="Q201" s="37"/>
      <c r="R201" s="37"/>
      <c r="S201" s="37"/>
      <c r="T201" s="37"/>
      <c r="U201" s="37"/>
      <c r="V201" s="37"/>
      <c r="W201" s="37"/>
    </row>
    <row r="202" spans="1:23" ht="11.25" customHeight="1" x14ac:dyDescent="0.25">
      <c r="A202" s="36" t="str">
        <f>'Org structure'!E28</f>
        <v>3.4 - IDP/ PMS/ SDBIP</v>
      </c>
      <c r="B202" s="368"/>
      <c r="C202" s="331">
        <v>0</v>
      </c>
      <c r="D202" s="328">
        <v>0</v>
      </c>
      <c r="E202" s="531">
        <v>0</v>
      </c>
      <c r="F202" s="378">
        <v>0</v>
      </c>
      <c r="G202" s="329">
        <v>0</v>
      </c>
      <c r="H202" s="378">
        <f t="shared" si="37"/>
        <v>0</v>
      </c>
      <c r="I202" s="41">
        <f t="shared" si="39"/>
        <v>0</v>
      </c>
      <c r="J202" s="165" t="str">
        <f t="shared" si="40"/>
        <v/>
      </c>
      <c r="K202" s="332">
        <f t="shared" si="38"/>
        <v>0</v>
      </c>
      <c r="L202" s="44"/>
      <c r="M202" s="37"/>
      <c r="N202" s="37"/>
      <c r="O202" s="37"/>
      <c r="P202" s="37"/>
      <c r="Q202" s="37"/>
      <c r="R202" s="37"/>
      <c r="S202" s="37"/>
      <c r="T202" s="37"/>
      <c r="U202" s="37"/>
      <c r="V202" s="37"/>
      <c r="W202" s="37"/>
    </row>
    <row r="203" spans="1:23" ht="11.25" customHeight="1" x14ac:dyDescent="0.25">
      <c r="A203" s="36" t="str">
        <f>'Org structure'!E29</f>
        <v>3.5 - Communications &amp; Media Relations</v>
      </c>
      <c r="B203" s="368"/>
      <c r="C203" s="331">
        <v>0</v>
      </c>
      <c r="D203" s="328">
        <v>0</v>
      </c>
      <c r="E203" s="531">
        <v>120000</v>
      </c>
      <c r="F203" s="378">
        <v>13343.48</v>
      </c>
      <c r="G203" s="329">
        <v>17093.48</v>
      </c>
      <c r="H203" s="378">
        <f t="shared" si="37"/>
        <v>120000</v>
      </c>
      <c r="I203" s="41">
        <f t="shared" si="39"/>
        <v>-102906.52</v>
      </c>
      <c r="J203" s="165">
        <f t="shared" si="40"/>
        <v>-0.85755433333333342</v>
      </c>
      <c r="K203" s="332">
        <f t="shared" si="38"/>
        <v>120000</v>
      </c>
      <c r="L203" s="44"/>
      <c r="M203" s="37"/>
      <c r="N203" s="37"/>
      <c r="O203" s="37"/>
      <c r="P203" s="37"/>
      <c r="Q203" s="37"/>
      <c r="R203" s="37"/>
      <c r="S203" s="37"/>
      <c r="T203" s="37"/>
      <c r="U203" s="37"/>
      <c r="V203" s="37"/>
      <c r="W203" s="37"/>
    </row>
    <row r="204" spans="1:23" ht="11.25" customHeight="1" x14ac:dyDescent="0.25">
      <c r="A204" s="36" t="str">
        <f>'Org structure'!E30</f>
        <v>3.6 - Local Economic Development</v>
      </c>
      <c r="B204" s="368"/>
      <c r="C204" s="331">
        <v>0</v>
      </c>
      <c r="D204" s="328">
        <v>432000</v>
      </c>
      <c r="E204" s="531">
        <v>0</v>
      </c>
      <c r="F204" s="378">
        <v>0</v>
      </c>
      <c r="G204" s="329">
        <v>0</v>
      </c>
      <c r="H204" s="378">
        <f t="shared" si="37"/>
        <v>0</v>
      </c>
      <c r="I204" s="41">
        <f t="shared" si="39"/>
        <v>0</v>
      </c>
      <c r="J204" s="165" t="str">
        <f t="shared" si="40"/>
        <v/>
      </c>
      <c r="K204" s="332">
        <f t="shared" si="38"/>
        <v>0</v>
      </c>
      <c r="L204" s="44"/>
      <c r="M204" s="37"/>
      <c r="N204" s="37"/>
      <c r="O204" s="37"/>
      <c r="P204" s="37"/>
      <c r="Q204" s="37"/>
      <c r="R204" s="37"/>
      <c r="S204" s="37"/>
      <c r="T204" s="37"/>
      <c r="U204" s="37"/>
      <c r="V204" s="37"/>
      <c r="W204" s="37"/>
    </row>
    <row r="205" spans="1:23" ht="11.25" customHeight="1" x14ac:dyDescent="0.25">
      <c r="A205" s="36" t="str">
        <f>'Org structure'!E31</f>
        <v>3.7 - Legal Services</v>
      </c>
      <c r="B205" s="368"/>
      <c r="C205" s="331">
        <v>0</v>
      </c>
      <c r="D205" s="328">
        <v>0</v>
      </c>
      <c r="E205" s="531">
        <v>0</v>
      </c>
      <c r="F205" s="378">
        <v>0</v>
      </c>
      <c r="G205" s="329">
        <v>0</v>
      </c>
      <c r="H205" s="378">
        <f t="shared" si="37"/>
        <v>0</v>
      </c>
      <c r="I205" s="41">
        <f t="shared" si="39"/>
        <v>0</v>
      </c>
      <c r="J205" s="165" t="str">
        <f t="shared" si="40"/>
        <v/>
      </c>
      <c r="K205" s="332">
        <f t="shared" si="38"/>
        <v>0</v>
      </c>
      <c r="L205" s="44"/>
      <c r="M205" s="37"/>
      <c r="N205" s="37"/>
      <c r="O205" s="37"/>
      <c r="P205" s="37"/>
      <c r="Q205" s="37"/>
      <c r="R205" s="37"/>
      <c r="S205" s="37"/>
      <c r="T205" s="37"/>
      <c r="U205" s="37"/>
      <c r="V205" s="37"/>
      <c r="W205" s="37"/>
    </row>
    <row r="206" spans="1:23" ht="11.25" customHeight="1" x14ac:dyDescent="0.25">
      <c r="A206" s="36">
        <f>'Org structure'!E32</f>
        <v>0</v>
      </c>
      <c r="B206" s="368"/>
      <c r="C206" s="331"/>
      <c r="D206" s="328"/>
      <c r="E206" s="531"/>
      <c r="F206" s="378"/>
      <c r="G206" s="329"/>
      <c r="H206" s="378"/>
      <c r="I206" s="41">
        <f t="shared" si="39"/>
        <v>0</v>
      </c>
      <c r="J206" s="165" t="str">
        <f t="shared" si="40"/>
        <v/>
      </c>
      <c r="K206" s="332"/>
      <c r="L206" s="44"/>
      <c r="M206" s="37"/>
      <c r="N206" s="37"/>
      <c r="O206" s="37"/>
      <c r="P206" s="37"/>
      <c r="Q206" s="37"/>
      <c r="R206" s="37"/>
      <c r="S206" s="37"/>
      <c r="T206" s="37"/>
      <c r="U206" s="37"/>
      <c r="V206" s="37"/>
      <c r="W206" s="37"/>
    </row>
    <row r="207" spans="1:23" ht="11.25" customHeight="1" x14ac:dyDescent="0.25">
      <c r="A207" s="36">
        <f>'Org structure'!E33</f>
        <v>0</v>
      </c>
      <c r="B207" s="368"/>
      <c r="C207" s="331"/>
      <c r="D207" s="328"/>
      <c r="E207" s="531"/>
      <c r="F207" s="378"/>
      <c r="G207" s="329"/>
      <c r="H207" s="378"/>
      <c r="I207" s="41">
        <f t="shared" si="39"/>
        <v>0</v>
      </c>
      <c r="J207" s="165" t="str">
        <f t="shared" si="40"/>
        <v/>
      </c>
      <c r="K207" s="332"/>
      <c r="L207" s="44"/>
      <c r="M207" s="37"/>
      <c r="N207" s="37"/>
      <c r="O207" s="37"/>
      <c r="P207" s="37"/>
      <c r="Q207" s="37"/>
      <c r="R207" s="37"/>
      <c r="S207" s="37"/>
      <c r="T207" s="37"/>
      <c r="U207" s="37"/>
      <c r="V207" s="37"/>
      <c r="W207" s="37"/>
    </row>
    <row r="208" spans="1:23" ht="11.25" customHeight="1" x14ac:dyDescent="0.25">
      <c r="A208" s="36">
        <f>'Org structure'!E34</f>
        <v>0</v>
      </c>
      <c r="B208" s="368"/>
      <c r="C208" s="331"/>
      <c r="D208" s="328"/>
      <c r="E208" s="531"/>
      <c r="F208" s="378"/>
      <c r="G208" s="329"/>
      <c r="H208" s="378"/>
      <c r="I208" s="41">
        <f t="shared" si="39"/>
        <v>0</v>
      </c>
      <c r="J208" s="165" t="str">
        <f t="shared" si="40"/>
        <v/>
      </c>
      <c r="K208" s="332"/>
      <c r="L208" s="44"/>
      <c r="M208" s="37"/>
      <c r="N208" s="37"/>
      <c r="O208" s="37"/>
      <c r="P208" s="37"/>
      <c r="Q208" s="37"/>
      <c r="R208" s="37"/>
      <c r="S208" s="37"/>
      <c r="T208" s="37"/>
      <c r="U208" s="37"/>
      <c r="V208" s="37"/>
      <c r="W208" s="37"/>
    </row>
    <row r="209" spans="1:23" ht="11.25" customHeight="1" x14ac:dyDescent="0.25">
      <c r="A209" s="88" t="str">
        <f>'Org structure'!A5</f>
        <v>Vote 4 - Financial Services</v>
      </c>
      <c r="B209" s="363"/>
      <c r="C209" s="397">
        <f t="shared" ref="C209:K209" si="41">SUM(C210:C219)</f>
        <v>795402.12</v>
      </c>
      <c r="D209" s="367">
        <f t="shared" si="41"/>
        <v>975000</v>
      </c>
      <c r="E209" s="845">
        <f>SUM(E210:E219)</f>
        <v>1390000</v>
      </c>
      <c r="F209" s="366">
        <f t="shared" si="41"/>
        <v>70978.09</v>
      </c>
      <c r="G209" s="364">
        <f t="shared" si="41"/>
        <v>75665.06</v>
      </c>
      <c r="H209" s="366">
        <f t="shared" si="41"/>
        <v>1390000</v>
      </c>
      <c r="I209" s="41">
        <f t="shared" si="39"/>
        <v>-1314334.94</v>
      </c>
      <c r="J209" s="165">
        <f t="shared" si="40"/>
        <v>-0.94556470503597123</v>
      </c>
      <c r="K209" s="365">
        <f t="shared" si="41"/>
        <v>1390000</v>
      </c>
      <c r="L209" s="44"/>
      <c r="M209" s="37"/>
      <c r="N209" s="37"/>
      <c r="O209" s="37"/>
      <c r="P209" s="37"/>
      <c r="Q209" s="37"/>
      <c r="R209" s="37"/>
      <c r="S209" s="37"/>
      <c r="T209" s="37"/>
      <c r="U209" s="37"/>
      <c r="V209" s="37"/>
      <c r="W209" s="37"/>
    </row>
    <row r="210" spans="1:23" ht="11.25" customHeight="1" x14ac:dyDescent="0.25">
      <c r="A210" s="36" t="str">
        <f>'Org structure'!E36</f>
        <v>4.1 - Administration</v>
      </c>
      <c r="B210" s="368"/>
      <c r="C210" s="331">
        <v>0</v>
      </c>
      <c r="D210" s="328">
        <v>975000</v>
      </c>
      <c r="E210" s="531">
        <v>5000</v>
      </c>
      <c r="F210" s="378">
        <v>0</v>
      </c>
      <c r="G210" s="329">
        <v>4686.97</v>
      </c>
      <c r="H210" s="378">
        <f t="shared" ref="H210:H213" si="42">E210/12*$X$1</f>
        <v>5000</v>
      </c>
      <c r="I210" s="41">
        <f t="shared" si="39"/>
        <v>-313.02999999999975</v>
      </c>
      <c r="J210" s="165">
        <f t="shared" si="40"/>
        <v>-6.2605999999999953E-2</v>
      </c>
      <c r="K210" s="332">
        <f>E210</f>
        <v>5000</v>
      </c>
      <c r="L210" s="44"/>
      <c r="M210" s="37"/>
      <c r="N210" s="37"/>
      <c r="O210" s="37"/>
      <c r="P210" s="37"/>
      <c r="Q210" s="37"/>
      <c r="R210" s="37"/>
      <c r="S210" s="37"/>
      <c r="T210" s="37"/>
      <c r="U210" s="37"/>
      <c r="V210" s="37"/>
      <c r="W210" s="37"/>
    </row>
    <row r="211" spans="1:23" ht="11.25" customHeight="1" x14ac:dyDescent="0.25">
      <c r="A211" s="36" t="str">
        <f>'Org structure'!E37</f>
        <v>4.2 - Revenue</v>
      </c>
      <c r="B211" s="368"/>
      <c r="C211" s="331">
        <v>8935</v>
      </c>
      <c r="D211" s="328">
        <v>0</v>
      </c>
      <c r="E211" s="531">
        <v>120000</v>
      </c>
      <c r="F211" s="378">
        <v>70978.09</v>
      </c>
      <c r="G211" s="329">
        <v>70978.09</v>
      </c>
      <c r="H211" s="378">
        <f t="shared" si="42"/>
        <v>120000</v>
      </c>
      <c r="I211" s="41">
        <f t="shared" si="39"/>
        <v>-49021.91</v>
      </c>
      <c r="J211" s="165">
        <f t="shared" si="40"/>
        <v>-0.4085159166666667</v>
      </c>
      <c r="K211" s="332">
        <f>E211</f>
        <v>120000</v>
      </c>
      <c r="L211" s="44"/>
      <c r="M211" s="37"/>
      <c r="N211" s="37"/>
      <c r="O211" s="37"/>
      <c r="P211" s="37"/>
      <c r="Q211" s="37"/>
      <c r="R211" s="37"/>
      <c r="S211" s="37"/>
      <c r="T211" s="37"/>
      <c r="U211" s="37"/>
      <c r="V211" s="37"/>
      <c r="W211" s="37"/>
    </row>
    <row r="212" spans="1:23" ht="11.25" customHeight="1" x14ac:dyDescent="0.25">
      <c r="A212" s="36" t="str">
        <f>'Org structure'!E38</f>
        <v>4.3 - Financial Planning</v>
      </c>
      <c r="B212" s="368"/>
      <c r="C212" s="331">
        <v>781423.64</v>
      </c>
      <c r="D212" s="328">
        <v>0</v>
      </c>
      <c r="E212" s="531">
        <v>515000</v>
      </c>
      <c r="F212" s="378">
        <v>0</v>
      </c>
      <c r="G212" s="329">
        <v>0</v>
      </c>
      <c r="H212" s="378">
        <f t="shared" si="42"/>
        <v>515000</v>
      </c>
      <c r="I212" s="41">
        <f t="shared" si="39"/>
        <v>-515000</v>
      </c>
      <c r="J212" s="165">
        <f t="shared" si="40"/>
        <v>-1</v>
      </c>
      <c r="K212" s="332">
        <f>E212</f>
        <v>515000</v>
      </c>
      <c r="L212" s="44"/>
      <c r="M212" s="37"/>
      <c r="N212" s="37"/>
      <c r="O212" s="37"/>
      <c r="P212" s="37"/>
      <c r="Q212" s="37"/>
      <c r="R212" s="37"/>
      <c r="S212" s="37"/>
      <c r="T212" s="37"/>
      <c r="U212" s="37"/>
      <c r="V212" s="37"/>
      <c r="W212" s="37"/>
    </row>
    <row r="213" spans="1:23" ht="11.25" customHeight="1" x14ac:dyDescent="0.25">
      <c r="A213" s="36" t="str">
        <f>'Org structure'!E39</f>
        <v>4.4 - Supply Chain Management</v>
      </c>
      <c r="B213" s="368"/>
      <c r="C213" s="331">
        <v>5043.4799999999996</v>
      </c>
      <c r="D213" s="328">
        <v>0</v>
      </c>
      <c r="E213" s="531">
        <v>750000</v>
      </c>
      <c r="F213" s="378">
        <v>0</v>
      </c>
      <c r="G213" s="329">
        <v>0</v>
      </c>
      <c r="H213" s="378">
        <f t="shared" si="42"/>
        <v>750000</v>
      </c>
      <c r="I213" s="41">
        <f t="shared" si="39"/>
        <v>-750000</v>
      </c>
      <c r="J213" s="165">
        <f t="shared" si="40"/>
        <v>-1</v>
      </c>
      <c r="K213" s="332">
        <f>E213</f>
        <v>750000</v>
      </c>
      <c r="L213" s="44"/>
      <c r="M213" s="37"/>
      <c r="N213" s="37"/>
      <c r="O213" s="37"/>
      <c r="P213" s="37"/>
      <c r="Q213" s="37"/>
      <c r="R213" s="37"/>
      <c r="S213" s="37"/>
      <c r="T213" s="37"/>
      <c r="U213" s="37"/>
      <c r="V213" s="37"/>
      <c r="W213" s="37"/>
    </row>
    <row r="214" spans="1:23" ht="11.25" customHeight="1" x14ac:dyDescent="0.25">
      <c r="A214" s="36">
        <f>'Org structure'!E40</f>
        <v>0</v>
      </c>
      <c r="B214" s="368"/>
      <c r="C214" s="331"/>
      <c r="D214" s="328"/>
      <c r="E214" s="531"/>
      <c r="F214" s="378"/>
      <c r="G214" s="329"/>
      <c r="H214" s="378"/>
      <c r="I214" s="41">
        <f t="shared" si="39"/>
        <v>0</v>
      </c>
      <c r="J214" s="165" t="str">
        <f t="shared" si="40"/>
        <v/>
      </c>
      <c r="K214" s="332"/>
      <c r="L214" s="44"/>
      <c r="M214" s="37"/>
      <c r="N214" s="37"/>
      <c r="O214" s="37"/>
      <c r="P214" s="37"/>
      <c r="Q214" s="37"/>
      <c r="R214" s="37"/>
      <c r="S214" s="37"/>
      <c r="T214" s="37"/>
      <c r="U214" s="37"/>
      <c r="V214" s="37"/>
      <c r="W214" s="37"/>
    </row>
    <row r="215" spans="1:23" ht="11.25" customHeight="1" x14ac:dyDescent="0.25">
      <c r="A215" s="36">
        <f>'Org structure'!E41</f>
        <v>0</v>
      </c>
      <c r="B215" s="368"/>
      <c r="C215" s="331"/>
      <c r="D215" s="328"/>
      <c r="E215" s="531"/>
      <c r="F215" s="378"/>
      <c r="G215" s="329"/>
      <c r="H215" s="378"/>
      <c r="I215" s="41">
        <f t="shared" si="39"/>
        <v>0</v>
      </c>
      <c r="J215" s="165" t="str">
        <f t="shared" si="40"/>
        <v/>
      </c>
      <c r="K215" s="332"/>
      <c r="L215" s="44"/>
      <c r="M215" s="37"/>
      <c r="N215" s="37"/>
      <c r="O215" s="37"/>
      <c r="P215" s="37"/>
      <c r="Q215" s="37"/>
      <c r="R215" s="37"/>
      <c r="S215" s="37"/>
      <c r="T215" s="37"/>
      <c r="U215" s="37"/>
      <c r="V215" s="37"/>
      <c r="W215" s="37"/>
    </row>
    <row r="216" spans="1:23" ht="11.25" customHeight="1" x14ac:dyDescent="0.25">
      <c r="A216" s="36">
        <f>'Org structure'!E42</f>
        <v>0</v>
      </c>
      <c r="B216" s="368"/>
      <c r="C216" s="331"/>
      <c r="D216" s="328"/>
      <c r="E216" s="531"/>
      <c r="F216" s="378"/>
      <c r="G216" s="329"/>
      <c r="H216" s="378"/>
      <c r="I216" s="41">
        <f t="shared" si="39"/>
        <v>0</v>
      </c>
      <c r="J216" s="165" t="str">
        <f t="shared" si="40"/>
        <v/>
      </c>
      <c r="K216" s="332"/>
      <c r="L216" s="44"/>
      <c r="M216" s="37"/>
      <c r="N216" s="37"/>
      <c r="O216" s="37"/>
      <c r="P216" s="37"/>
      <c r="Q216" s="37"/>
      <c r="R216" s="37"/>
      <c r="S216" s="37"/>
      <c r="T216" s="37"/>
      <c r="U216" s="37"/>
      <c r="V216" s="37"/>
      <c r="W216" s="37"/>
    </row>
    <row r="217" spans="1:23" ht="11.25" customHeight="1" x14ac:dyDescent="0.25">
      <c r="A217" s="36">
        <f>'Org structure'!E43</f>
        <v>0</v>
      </c>
      <c r="B217" s="368"/>
      <c r="C217" s="331"/>
      <c r="D217" s="328"/>
      <c r="E217" s="531"/>
      <c r="F217" s="378"/>
      <c r="G217" s="329"/>
      <c r="H217" s="378"/>
      <c r="I217" s="41">
        <f t="shared" si="39"/>
        <v>0</v>
      </c>
      <c r="J217" s="165" t="str">
        <f t="shared" si="40"/>
        <v/>
      </c>
      <c r="K217" s="332"/>
      <c r="L217" s="44"/>
      <c r="M217" s="37"/>
      <c r="N217" s="37"/>
      <c r="O217" s="37"/>
      <c r="P217" s="37"/>
      <c r="Q217" s="37"/>
      <c r="R217" s="37"/>
      <c r="S217" s="37"/>
      <c r="T217" s="37"/>
      <c r="U217" s="37"/>
      <c r="V217" s="37"/>
      <c r="W217" s="37"/>
    </row>
    <row r="218" spans="1:23" ht="11.25" customHeight="1" x14ac:dyDescent="0.25">
      <c r="A218" s="36">
        <f>'Org structure'!E44</f>
        <v>0</v>
      </c>
      <c r="B218" s="368"/>
      <c r="C218" s="331"/>
      <c r="D218" s="328"/>
      <c r="E218" s="531"/>
      <c r="F218" s="378"/>
      <c r="G218" s="329"/>
      <c r="H218" s="378"/>
      <c r="I218" s="41">
        <f t="shared" si="39"/>
        <v>0</v>
      </c>
      <c r="J218" s="165" t="str">
        <f t="shared" si="40"/>
        <v/>
      </c>
      <c r="K218" s="332"/>
      <c r="L218" s="44"/>
      <c r="M218" s="37"/>
      <c r="N218" s="37"/>
      <c r="O218" s="37"/>
      <c r="P218" s="37"/>
      <c r="Q218" s="37"/>
      <c r="R218" s="37"/>
      <c r="S218" s="37"/>
      <c r="T218" s="37"/>
      <c r="U218" s="37"/>
      <c r="V218" s="37"/>
      <c r="W218" s="37"/>
    </row>
    <row r="219" spans="1:23" ht="11.25" customHeight="1" x14ac:dyDescent="0.25">
      <c r="A219" s="36">
        <f>'Org structure'!E45</f>
        <v>0</v>
      </c>
      <c r="B219" s="368"/>
      <c r="C219" s="331"/>
      <c r="D219" s="328"/>
      <c r="E219" s="531"/>
      <c r="F219" s="378"/>
      <c r="G219" s="329"/>
      <c r="H219" s="378"/>
      <c r="I219" s="41">
        <f t="shared" si="39"/>
        <v>0</v>
      </c>
      <c r="J219" s="165" t="str">
        <f t="shared" si="40"/>
        <v/>
      </c>
      <c r="K219" s="332"/>
      <c r="L219" s="44"/>
      <c r="M219" s="37"/>
      <c r="N219" s="37"/>
      <c r="O219" s="37"/>
      <c r="P219" s="37"/>
      <c r="Q219" s="37"/>
      <c r="R219" s="37"/>
      <c r="S219" s="37"/>
      <c r="T219" s="37"/>
      <c r="U219" s="37"/>
      <c r="V219" s="37"/>
      <c r="W219" s="37"/>
    </row>
    <row r="220" spans="1:23" ht="11.25" customHeight="1" x14ac:dyDescent="0.25">
      <c r="A220" s="88" t="str">
        <f>'Org structure'!A6</f>
        <v>Vote 5 - Community Services</v>
      </c>
      <c r="B220" s="363"/>
      <c r="C220" s="397">
        <f t="shared" ref="C220:K220" si="43">SUM(C221:C230)</f>
        <v>3769548.36</v>
      </c>
      <c r="D220" s="367">
        <f t="shared" si="43"/>
        <v>8248000</v>
      </c>
      <c r="E220" s="845">
        <f t="shared" si="43"/>
        <v>1874843.22</v>
      </c>
      <c r="F220" s="366">
        <f t="shared" si="43"/>
        <v>279354.31000000006</v>
      </c>
      <c r="G220" s="364">
        <f t="shared" si="43"/>
        <v>2395198.21</v>
      </c>
      <c r="H220" s="366">
        <f t="shared" si="43"/>
        <v>1874843.22</v>
      </c>
      <c r="I220" s="41">
        <f t="shared" si="39"/>
        <v>520354.99</v>
      </c>
      <c r="J220" s="165">
        <f t="shared" si="40"/>
        <v>0.27754586860868291</v>
      </c>
      <c r="K220" s="365">
        <f t="shared" si="43"/>
        <v>1874843.22</v>
      </c>
      <c r="L220" s="44"/>
      <c r="M220" s="37"/>
      <c r="N220" s="37"/>
      <c r="O220" s="37"/>
      <c r="P220" s="37"/>
      <c r="Q220" s="37"/>
      <c r="R220" s="37"/>
      <c r="S220" s="37"/>
      <c r="T220" s="37"/>
      <c r="U220" s="37"/>
      <c r="V220" s="37"/>
      <c r="W220" s="37"/>
    </row>
    <row r="221" spans="1:23" ht="11.25" customHeight="1" x14ac:dyDescent="0.25">
      <c r="A221" s="36" t="str">
        <f>'Org structure'!E47</f>
        <v>5.1 - Administration &amp; Support Services</v>
      </c>
      <c r="B221" s="368"/>
      <c r="C221" s="331">
        <v>79774.63</v>
      </c>
      <c r="D221" s="328">
        <v>5000</v>
      </c>
      <c r="E221" s="531">
        <v>5000</v>
      </c>
      <c r="F221" s="378">
        <v>0</v>
      </c>
      <c r="G221" s="329">
        <v>2970.92</v>
      </c>
      <c r="H221" s="378">
        <f t="shared" ref="H221:H229" si="44">E221/12*$X$1</f>
        <v>5000</v>
      </c>
      <c r="I221" s="41">
        <f t="shared" si="39"/>
        <v>-2029.08</v>
      </c>
      <c r="J221" s="165">
        <f t="shared" si="40"/>
        <v>-0.40581600000000001</v>
      </c>
      <c r="K221" s="332">
        <f t="shared" ref="K221:K229" si="45">E221</f>
        <v>5000</v>
      </c>
      <c r="L221" s="44"/>
      <c r="M221" s="37"/>
      <c r="N221" s="37"/>
      <c r="O221" s="37"/>
      <c r="P221" s="37"/>
      <c r="Q221" s="37"/>
      <c r="R221" s="37"/>
      <c r="S221" s="37"/>
      <c r="T221" s="37"/>
      <c r="U221" s="37"/>
      <c r="V221" s="37"/>
      <c r="W221" s="37"/>
    </row>
    <row r="222" spans="1:23" ht="11.25" customHeight="1" x14ac:dyDescent="0.25">
      <c r="A222" s="36" t="str">
        <f>'Org structure'!E48</f>
        <v>5.2 - Human Settlements &amp; Housing</v>
      </c>
      <c r="B222" s="368"/>
      <c r="C222" s="331">
        <v>0</v>
      </c>
      <c r="D222" s="328">
        <v>0</v>
      </c>
      <c r="E222" s="531">
        <v>0</v>
      </c>
      <c r="F222" s="378">
        <v>0</v>
      </c>
      <c r="G222" s="329">
        <v>0</v>
      </c>
      <c r="H222" s="378">
        <f t="shared" si="44"/>
        <v>0</v>
      </c>
      <c r="I222" s="41">
        <f t="shared" si="39"/>
        <v>0</v>
      </c>
      <c r="J222" s="165" t="str">
        <f t="shared" si="40"/>
        <v/>
      </c>
      <c r="K222" s="332">
        <f t="shared" si="45"/>
        <v>0</v>
      </c>
      <c r="L222" s="44"/>
      <c r="M222" s="37"/>
      <c r="N222" s="37"/>
      <c r="O222" s="37"/>
      <c r="P222" s="37"/>
      <c r="Q222" s="37"/>
      <c r="R222" s="37"/>
      <c r="S222" s="37"/>
      <c r="T222" s="37"/>
      <c r="U222" s="37"/>
      <c r="V222" s="37"/>
      <c r="W222" s="37"/>
    </row>
    <row r="223" spans="1:23" ht="11.25" customHeight="1" x14ac:dyDescent="0.25">
      <c r="A223" s="36" t="str">
        <f>'Org structure'!E49</f>
        <v>5.3 - Libraries</v>
      </c>
      <c r="B223" s="368"/>
      <c r="C223" s="331">
        <v>926617.87999999989</v>
      </c>
      <c r="D223" s="328">
        <v>900000</v>
      </c>
      <c r="E223" s="531">
        <v>42143.219999999972</v>
      </c>
      <c r="F223" s="378">
        <v>0</v>
      </c>
      <c r="G223" s="329">
        <v>0</v>
      </c>
      <c r="H223" s="378">
        <f t="shared" si="44"/>
        <v>42143.219999999972</v>
      </c>
      <c r="I223" s="41">
        <f t="shared" si="39"/>
        <v>-42143.219999999972</v>
      </c>
      <c r="J223" s="165">
        <f t="shared" si="40"/>
        <v>-1</v>
      </c>
      <c r="K223" s="332">
        <f t="shared" si="45"/>
        <v>42143.219999999972</v>
      </c>
      <c r="L223" s="44"/>
      <c r="M223" s="37"/>
      <c r="N223" s="37"/>
      <c r="O223" s="37"/>
      <c r="P223" s="37"/>
      <c r="Q223" s="37"/>
      <c r="R223" s="37"/>
      <c r="S223" s="37"/>
      <c r="T223" s="37"/>
      <c r="U223" s="37"/>
      <c r="V223" s="37"/>
      <c r="W223" s="37"/>
    </row>
    <row r="224" spans="1:23" ht="11.25" customHeight="1" x14ac:dyDescent="0.25">
      <c r="A224" s="36" t="str">
        <f>'Org structure'!E50</f>
        <v>5.4 - Fire Brigade &amp; Disaster Risk Management</v>
      </c>
      <c r="B224" s="368"/>
      <c r="C224" s="331">
        <v>2283806.8800000004</v>
      </c>
      <c r="D224" s="328">
        <v>3203000</v>
      </c>
      <c r="E224" s="531">
        <v>0</v>
      </c>
      <c r="F224" s="378">
        <v>0</v>
      </c>
      <c r="G224" s="329">
        <v>0</v>
      </c>
      <c r="H224" s="378">
        <f t="shared" si="44"/>
        <v>0</v>
      </c>
      <c r="I224" s="41">
        <f t="shared" si="39"/>
        <v>0</v>
      </c>
      <c r="J224" s="165" t="str">
        <f t="shared" si="40"/>
        <v/>
      </c>
      <c r="K224" s="332">
        <f t="shared" si="45"/>
        <v>0</v>
      </c>
      <c r="L224" s="44"/>
      <c r="M224" s="37"/>
      <c r="N224" s="37"/>
      <c r="O224" s="37"/>
      <c r="P224" s="37"/>
      <c r="Q224" s="37"/>
      <c r="R224" s="37"/>
      <c r="S224" s="37"/>
      <c r="T224" s="37"/>
      <c r="U224" s="37"/>
      <c r="V224" s="37"/>
      <c r="W224" s="37"/>
    </row>
    <row r="225" spans="1:23" ht="11.25" customHeight="1" x14ac:dyDescent="0.25">
      <c r="A225" s="36" t="str">
        <f>'Org structure'!E51</f>
        <v>5.5 - Traffic Services</v>
      </c>
      <c r="B225" s="368"/>
      <c r="C225" s="331">
        <v>128473.23</v>
      </c>
      <c r="D225" s="328">
        <v>0</v>
      </c>
      <c r="E225" s="531">
        <v>960000</v>
      </c>
      <c r="F225" s="378">
        <v>106854.31000000004</v>
      </c>
      <c r="G225" s="329">
        <v>797930.15</v>
      </c>
      <c r="H225" s="378">
        <f t="shared" si="44"/>
        <v>960000</v>
      </c>
      <c r="I225" s="41">
        <f t="shared" si="39"/>
        <v>-162069.84999999998</v>
      </c>
      <c r="J225" s="165">
        <f t="shared" si="40"/>
        <v>-0.16882276041666663</v>
      </c>
      <c r="K225" s="332">
        <f t="shared" si="45"/>
        <v>960000</v>
      </c>
      <c r="L225" s="44"/>
      <c r="M225" s="37"/>
      <c r="N225" s="37"/>
      <c r="O225" s="37"/>
      <c r="P225" s="37"/>
      <c r="Q225" s="37"/>
      <c r="R225" s="37"/>
      <c r="S225" s="37"/>
      <c r="T225" s="37"/>
      <c r="U225" s="37"/>
      <c r="V225" s="37"/>
      <c r="W225" s="37"/>
    </row>
    <row r="226" spans="1:23" ht="11.25" customHeight="1" x14ac:dyDescent="0.25">
      <c r="A226" s="36" t="str">
        <f>'Org structure'!E52</f>
        <v>5.6 - Municipal Halls and Resorts</v>
      </c>
      <c r="B226" s="368"/>
      <c r="C226" s="331">
        <v>256221.51</v>
      </c>
      <c r="D226" s="328">
        <v>500000</v>
      </c>
      <c r="E226" s="531">
        <v>148700</v>
      </c>
      <c r="F226" s="378">
        <v>0</v>
      </c>
      <c r="G226" s="329">
        <v>926947.14</v>
      </c>
      <c r="H226" s="378">
        <f t="shared" si="44"/>
        <v>148700</v>
      </c>
      <c r="I226" s="41">
        <f t="shared" si="39"/>
        <v>778247.14</v>
      </c>
      <c r="J226" s="165">
        <f t="shared" si="40"/>
        <v>5.2336727639542708</v>
      </c>
      <c r="K226" s="332">
        <f t="shared" si="45"/>
        <v>148700</v>
      </c>
      <c r="L226" s="44"/>
      <c r="M226" s="37"/>
      <c r="N226" s="37"/>
      <c r="O226" s="37"/>
      <c r="P226" s="37"/>
      <c r="Q226" s="37"/>
      <c r="R226" s="37"/>
      <c r="S226" s="37"/>
      <c r="T226" s="37"/>
      <c r="U226" s="37"/>
      <c r="V226" s="37"/>
      <c r="W226" s="37"/>
    </row>
    <row r="227" spans="1:23" ht="11.25" customHeight="1" x14ac:dyDescent="0.25">
      <c r="A227" s="36" t="str">
        <f>'Org structure'!E53</f>
        <v>5.7 - Customer Care Services</v>
      </c>
      <c r="B227" s="368"/>
      <c r="C227" s="331">
        <v>55215.33</v>
      </c>
      <c r="D227" s="328">
        <v>0</v>
      </c>
      <c r="E227" s="531">
        <v>0</v>
      </c>
      <c r="F227" s="378">
        <v>0</v>
      </c>
      <c r="G227" s="329">
        <v>0</v>
      </c>
      <c r="H227" s="378">
        <f t="shared" si="44"/>
        <v>0</v>
      </c>
      <c r="I227" s="41">
        <f t="shared" si="39"/>
        <v>0</v>
      </c>
      <c r="J227" s="165" t="str">
        <f t="shared" si="40"/>
        <v/>
      </c>
      <c r="K227" s="332">
        <f t="shared" si="45"/>
        <v>0</v>
      </c>
      <c r="L227" s="44"/>
      <c r="M227" s="37"/>
      <c r="N227" s="37"/>
      <c r="O227" s="37"/>
      <c r="P227" s="37"/>
      <c r="Q227" s="37"/>
      <c r="R227" s="37"/>
      <c r="S227" s="37"/>
      <c r="T227" s="37"/>
      <c r="U227" s="37"/>
      <c r="V227" s="37"/>
      <c r="W227" s="37"/>
    </row>
    <row r="228" spans="1:23" ht="11.25" customHeight="1" x14ac:dyDescent="0.25">
      <c r="A228" s="36" t="str">
        <f>'Org structure'!E54</f>
        <v>5.8 - Sports and Recreation</v>
      </c>
      <c r="B228" s="368"/>
      <c r="C228" s="331">
        <v>39438.9</v>
      </c>
      <c r="D228" s="328">
        <v>3640000</v>
      </c>
      <c r="E228" s="531">
        <v>719000</v>
      </c>
      <c r="F228" s="378">
        <v>172500</v>
      </c>
      <c r="G228" s="329">
        <v>667350</v>
      </c>
      <c r="H228" s="378">
        <f t="shared" si="44"/>
        <v>719000</v>
      </c>
      <c r="I228" s="41">
        <f t="shared" si="39"/>
        <v>-51650</v>
      </c>
      <c r="J228" s="165">
        <f t="shared" si="40"/>
        <v>-7.1835883171070938E-2</v>
      </c>
      <c r="K228" s="332">
        <f t="shared" si="45"/>
        <v>719000</v>
      </c>
      <c r="L228" s="44"/>
      <c r="M228" s="37"/>
      <c r="N228" s="37"/>
      <c r="O228" s="37"/>
      <c r="P228" s="37"/>
      <c r="Q228" s="37"/>
      <c r="R228" s="37"/>
      <c r="S228" s="37"/>
      <c r="T228" s="37"/>
      <c r="U228" s="37"/>
      <c r="V228" s="37"/>
      <c r="W228" s="37"/>
    </row>
    <row r="229" spans="1:23" ht="11.25" customHeight="1" x14ac:dyDescent="0.25">
      <c r="A229" s="36" t="str">
        <f>'Org structure'!E55</f>
        <v>5.9 - Health</v>
      </c>
      <c r="B229" s="368"/>
      <c r="C229" s="331">
        <v>0</v>
      </c>
      <c r="D229" s="328">
        <v>0</v>
      </c>
      <c r="E229" s="531">
        <v>0</v>
      </c>
      <c r="F229" s="378">
        <v>0</v>
      </c>
      <c r="G229" s="329">
        <v>0</v>
      </c>
      <c r="H229" s="378">
        <f t="shared" si="44"/>
        <v>0</v>
      </c>
      <c r="I229" s="41">
        <f t="shared" si="39"/>
        <v>0</v>
      </c>
      <c r="J229" s="165" t="str">
        <f t="shared" si="40"/>
        <v/>
      </c>
      <c r="K229" s="332">
        <f t="shared" si="45"/>
        <v>0</v>
      </c>
      <c r="L229" s="44"/>
      <c r="M229" s="37"/>
      <c r="N229" s="37"/>
      <c r="O229" s="37"/>
      <c r="P229" s="37"/>
      <c r="Q229" s="37"/>
      <c r="R229" s="37"/>
      <c r="S229" s="37"/>
      <c r="T229" s="37"/>
      <c r="U229" s="37"/>
      <c r="V229" s="37"/>
      <c r="W229" s="37"/>
    </row>
    <row r="230" spans="1:23" ht="11.25" customHeight="1" x14ac:dyDescent="0.25">
      <c r="A230" s="36">
        <f>'Org structure'!E56</f>
        <v>0</v>
      </c>
      <c r="B230" s="368"/>
      <c r="C230" s="331"/>
      <c r="D230" s="328"/>
      <c r="E230" s="531"/>
      <c r="F230" s="378"/>
      <c r="G230" s="329"/>
      <c r="H230" s="378"/>
      <c r="I230" s="41">
        <f t="shared" si="39"/>
        <v>0</v>
      </c>
      <c r="J230" s="165" t="str">
        <f t="shared" si="40"/>
        <v/>
      </c>
      <c r="K230" s="332"/>
      <c r="L230" s="44"/>
      <c r="M230" s="37"/>
      <c r="N230" s="37"/>
      <c r="O230" s="37"/>
      <c r="P230" s="37"/>
      <c r="Q230" s="37"/>
      <c r="R230" s="37"/>
      <c r="S230" s="37"/>
      <c r="T230" s="37"/>
      <c r="U230" s="37"/>
      <c r="V230" s="37"/>
      <c r="W230" s="37"/>
    </row>
    <row r="231" spans="1:23" ht="11.25" customHeight="1" x14ac:dyDescent="0.25">
      <c r="A231" s="88" t="str">
        <f>'Org structure'!A7</f>
        <v>Vote 6 - Technical Services</v>
      </c>
      <c r="B231" s="363"/>
      <c r="C231" s="397">
        <f t="shared" ref="C231:K231" si="46">SUM(C232:C241)</f>
        <v>181222261.16999999</v>
      </c>
      <c r="D231" s="367">
        <f t="shared" si="46"/>
        <v>37757184</v>
      </c>
      <c r="E231" s="845">
        <f t="shared" si="46"/>
        <v>46045920</v>
      </c>
      <c r="F231" s="366">
        <f t="shared" si="46"/>
        <v>266995</v>
      </c>
      <c r="G231" s="364">
        <f t="shared" si="46"/>
        <v>1416508.9200000002</v>
      </c>
      <c r="H231" s="366">
        <f t="shared" si="46"/>
        <v>46045920</v>
      </c>
      <c r="I231" s="41">
        <f t="shared" si="39"/>
        <v>-44629411.079999998</v>
      </c>
      <c r="J231" s="165">
        <f t="shared" si="40"/>
        <v>-0.96923703728799415</v>
      </c>
      <c r="K231" s="365">
        <f t="shared" si="46"/>
        <v>46045920</v>
      </c>
      <c r="L231" s="44"/>
      <c r="M231" s="37"/>
      <c r="N231" s="37"/>
      <c r="O231" s="37"/>
      <c r="P231" s="37"/>
      <c r="Q231" s="37"/>
      <c r="R231" s="37"/>
      <c r="S231" s="37"/>
      <c r="T231" s="37"/>
      <c r="U231" s="37"/>
      <c r="V231" s="37"/>
      <c r="W231" s="37"/>
    </row>
    <row r="232" spans="1:23" ht="11.25" customHeight="1" x14ac:dyDescent="0.25">
      <c r="A232" s="36" t="str">
        <f>'Org structure'!E58</f>
        <v>6.1 - Public Works</v>
      </c>
      <c r="B232" s="368"/>
      <c r="C232" s="331">
        <v>70882906.950000003</v>
      </c>
      <c r="D232" s="328">
        <v>755000</v>
      </c>
      <c r="E232" s="531">
        <v>7703843</v>
      </c>
      <c r="F232" s="378">
        <v>0</v>
      </c>
      <c r="G232" s="329">
        <v>0</v>
      </c>
      <c r="H232" s="378">
        <f t="shared" ref="H232:H238" si="47">E232/12*$X$1</f>
        <v>7703843</v>
      </c>
      <c r="I232" s="41">
        <f t="shared" si="39"/>
        <v>-7703843</v>
      </c>
      <c r="J232" s="165">
        <f t="shared" si="40"/>
        <v>-1</v>
      </c>
      <c r="K232" s="332">
        <f t="shared" ref="K232:K238" si="48">E232</f>
        <v>7703843</v>
      </c>
      <c r="L232" s="44"/>
      <c r="M232" s="37"/>
      <c r="N232" s="37"/>
      <c r="O232" s="37"/>
      <c r="P232" s="37"/>
      <c r="Q232" s="37"/>
      <c r="R232" s="37"/>
      <c r="S232" s="37"/>
      <c r="T232" s="37"/>
      <c r="U232" s="37"/>
      <c r="V232" s="37"/>
      <c r="W232" s="37"/>
    </row>
    <row r="233" spans="1:23" ht="11.25" customHeight="1" x14ac:dyDescent="0.25">
      <c r="A233" s="36" t="str">
        <f>'Org structure'!E59</f>
        <v>6.2 - Cemetaries</v>
      </c>
      <c r="B233" s="368"/>
      <c r="C233" s="331">
        <v>0</v>
      </c>
      <c r="D233" s="328">
        <v>950000</v>
      </c>
      <c r="E233" s="531">
        <v>1072007</v>
      </c>
      <c r="F233" s="378">
        <v>0</v>
      </c>
      <c r="G233" s="329">
        <v>1072006.1000000001</v>
      </c>
      <c r="H233" s="378">
        <f t="shared" si="47"/>
        <v>1072007</v>
      </c>
      <c r="I233" s="41">
        <f t="shared" si="39"/>
        <v>-0.89999999990686774</v>
      </c>
      <c r="J233" s="165">
        <f t="shared" si="40"/>
        <v>-8.3954675660407791E-7</v>
      </c>
      <c r="K233" s="332">
        <f t="shared" si="48"/>
        <v>1072007</v>
      </c>
      <c r="L233" s="44"/>
      <c r="M233" s="37"/>
      <c r="N233" s="37"/>
      <c r="O233" s="37"/>
      <c r="P233" s="37"/>
      <c r="Q233" s="37"/>
      <c r="R233" s="37"/>
      <c r="S233" s="37"/>
      <c r="T233" s="37"/>
      <c r="U233" s="37"/>
      <c r="V233" s="37"/>
      <c r="W233" s="37"/>
    </row>
    <row r="234" spans="1:23" ht="11.25" customHeight="1" x14ac:dyDescent="0.25">
      <c r="A234" s="36" t="str">
        <f>'Org structure'!E60</f>
        <v>6.3 - Recreational Facilities</v>
      </c>
      <c r="B234" s="368"/>
      <c r="C234" s="331">
        <v>715495.54999999993</v>
      </c>
      <c r="D234" s="328">
        <v>600000</v>
      </c>
      <c r="E234" s="531">
        <v>468200</v>
      </c>
      <c r="F234" s="378">
        <v>266995</v>
      </c>
      <c r="G234" s="329">
        <v>344502.82</v>
      </c>
      <c r="H234" s="378">
        <f t="shared" si="47"/>
        <v>468200</v>
      </c>
      <c r="I234" s="41">
        <f t="shared" si="39"/>
        <v>-123697.18</v>
      </c>
      <c r="J234" s="165">
        <f t="shared" si="40"/>
        <v>-0.26419730884237502</v>
      </c>
      <c r="K234" s="332">
        <f t="shared" si="48"/>
        <v>468200</v>
      </c>
      <c r="L234" s="44"/>
      <c r="M234" s="37"/>
      <c r="N234" s="37"/>
      <c r="O234" s="37"/>
      <c r="P234" s="37"/>
      <c r="Q234" s="37"/>
      <c r="R234" s="37"/>
      <c r="S234" s="37"/>
      <c r="T234" s="37"/>
      <c r="U234" s="37"/>
      <c r="V234" s="37"/>
      <c r="W234" s="37"/>
    </row>
    <row r="235" spans="1:23" ht="11.25" customHeight="1" x14ac:dyDescent="0.25">
      <c r="A235" s="36" t="str">
        <f>'Org structure'!E61</f>
        <v>6.4 - Refuse Removal</v>
      </c>
      <c r="B235" s="368"/>
      <c r="C235" s="331">
        <v>8319447.8000000007</v>
      </c>
      <c r="D235" s="328">
        <v>1800000</v>
      </c>
      <c r="E235" s="531">
        <v>4529090</v>
      </c>
      <c r="F235" s="378">
        <v>0</v>
      </c>
      <c r="G235" s="329">
        <v>0</v>
      </c>
      <c r="H235" s="378">
        <f t="shared" si="47"/>
        <v>4529090</v>
      </c>
      <c r="I235" s="41">
        <f t="shared" si="39"/>
        <v>-4529090</v>
      </c>
      <c r="J235" s="165">
        <f t="shared" si="40"/>
        <v>-1</v>
      </c>
      <c r="K235" s="332">
        <f t="shared" si="48"/>
        <v>4529090</v>
      </c>
      <c r="L235" s="44"/>
      <c r="M235" s="37"/>
      <c r="N235" s="37"/>
      <c r="O235" s="37"/>
      <c r="P235" s="37"/>
      <c r="Q235" s="37"/>
      <c r="R235" s="37"/>
      <c r="S235" s="37"/>
      <c r="T235" s="37"/>
      <c r="U235" s="37"/>
      <c r="V235" s="37"/>
      <c r="W235" s="37"/>
    </row>
    <row r="236" spans="1:23" ht="11.25" customHeight="1" x14ac:dyDescent="0.25">
      <c r="A236" s="36" t="str">
        <f>'Org structure'!E62</f>
        <v>6.5 - Sewerages</v>
      </c>
      <c r="B236" s="368"/>
      <c r="C236" s="331">
        <v>37906292.129999995</v>
      </c>
      <c r="D236" s="328">
        <v>11852184</v>
      </c>
      <c r="E236" s="531">
        <v>6862044</v>
      </c>
      <c r="F236" s="378">
        <v>0</v>
      </c>
      <c r="G236" s="329">
        <v>0</v>
      </c>
      <c r="H236" s="378">
        <f t="shared" si="47"/>
        <v>6862044</v>
      </c>
      <c r="I236" s="41">
        <f t="shared" si="39"/>
        <v>-6862044</v>
      </c>
      <c r="J236" s="165">
        <f t="shared" si="40"/>
        <v>-1</v>
      </c>
      <c r="K236" s="332">
        <f t="shared" si="48"/>
        <v>6862044</v>
      </c>
      <c r="L236" s="44"/>
      <c r="M236" s="37"/>
      <c r="N236" s="37"/>
      <c r="O236" s="37"/>
      <c r="P236" s="37"/>
      <c r="Q236" s="37"/>
      <c r="R236" s="37"/>
      <c r="S236" s="37"/>
      <c r="T236" s="37"/>
      <c r="U236" s="37"/>
      <c r="V236" s="37"/>
      <c r="W236" s="37"/>
    </row>
    <row r="237" spans="1:23" ht="11.25" customHeight="1" x14ac:dyDescent="0.25">
      <c r="A237" s="36" t="str">
        <f>'Org structure'!E63</f>
        <v>6.6 - Electricity Management</v>
      </c>
      <c r="B237" s="368"/>
      <c r="C237" s="331">
        <v>12136781.010000002</v>
      </c>
      <c r="D237" s="328">
        <v>16150000</v>
      </c>
      <c r="E237" s="531">
        <v>17559692</v>
      </c>
      <c r="F237" s="378">
        <v>0</v>
      </c>
      <c r="G237" s="329">
        <v>0</v>
      </c>
      <c r="H237" s="378">
        <f t="shared" si="47"/>
        <v>17559692</v>
      </c>
      <c r="I237" s="41">
        <f t="shared" si="39"/>
        <v>-17559692</v>
      </c>
      <c r="J237" s="165">
        <f t="shared" si="40"/>
        <v>-1</v>
      </c>
      <c r="K237" s="332">
        <f t="shared" si="48"/>
        <v>17559692</v>
      </c>
      <c r="L237" s="44"/>
      <c r="M237" s="37"/>
      <c r="N237" s="37"/>
      <c r="O237" s="37"/>
      <c r="P237" s="37"/>
      <c r="Q237" s="37"/>
      <c r="R237" s="37"/>
      <c r="S237" s="37"/>
      <c r="T237" s="37"/>
      <c r="U237" s="37"/>
      <c r="V237" s="37"/>
      <c r="W237" s="37"/>
    </row>
    <row r="238" spans="1:23" ht="11.25" customHeight="1" x14ac:dyDescent="0.25">
      <c r="A238" s="36" t="str">
        <f>'Org structure'!E64</f>
        <v>6.7 - Water Management</v>
      </c>
      <c r="B238" s="368"/>
      <c r="C238" s="331">
        <v>51261337.729999997</v>
      </c>
      <c r="D238" s="328">
        <v>5650000</v>
      </c>
      <c r="E238" s="531">
        <v>7851044</v>
      </c>
      <c r="F238" s="378">
        <v>0</v>
      </c>
      <c r="G238" s="329">
        <v>0</v>
      </c>
      <c r="H238" s="378">
        <f t="shared" si="47"/>
        <v>7851044</v>
      </c>
      <c r="I238" s="41">
        <f t="shared" si="39"/>
        <v>-7851044</v>
      </c>
      <c r="J238" s="165">
        <f t="shared" si="40"/>
        <v>-1</v>
      </c>
      <c r="K238" s="332">
        <f t="shared" si="48"/>
        <v>7851044</v>
      </c>
      <c r="L238" s="44"/>
      <c r="M238" s="37"/>
      <c r="N238" s="37"/>
      <c r="O238" s="37"/>
      <c r="P238" s="37"/>
      <c r="Q238" s="37"/>
      <c r="R238" s="37"/>
      <c r="S238" s="37"/>
      <c r="T238" s="37"/>
      <c r="U238" s="37"/>
      <c r="V238" s="37"/>
      <c r="W238" s="37"/>
    </row>
    <row r="239" spans="1:23" ht="11.25" customHeight="1" x14ac:dyDescent="0.25">
      <c r="A239" s="36">
        <f>'Org structure'!E65</f>
        <v>0</v>
      </c>
      <c r="B239" s="368"/>
      <c r="C239" s="331"/>
      <c r="D239" s="328"/>
      <c r="E239" s="531"/>
      <c r="F239" s="378"/>
      <c r="G239" s="329"/>
      <c r="H239" s="378"/>
      <c r="I239" s="41">
        <f t="shared" si="39"/>
        <v>0</v>
      </c>
      <c r="J239" s="165" t="str">
        <f t="shared" si="40"/>
        <v/>
      </c>
      <c r="K239" s="332"/>
      <c r="L239" s="44"/>
      <c r="M239" s="37"/>
      <c r="N239" s="37"/>
      <c r="O239" s="37"/>
      <c r="P239" s="37"/>
      <c r="Q239" s="37"/>
      <c r="R239" s="37"/>
      <c r="S239" s="37"/>
      <c r="T239" s="37"/>
      <c r="U239" s="37"/>
      <c r="V239" s="37"/>
      <c r="W239" s="37"/>
    </row>
    <row r="240" spans="1:23" ht="11.25" customHeight="1" x14ac:dyDescent="0.25">
      <c r="A240" s="36">
        <f>'Org structure'!E66</f>
        <v>0</v>
      </c>
      <c r="B240" s="368"/>
      <c r="C240" s="331"/>
      <c r="D240" s="328"/>
      <c r="E240" s="531"/>
      <c r="F240" s="378"/>
      <c r="G240" s="329"/>
      <c r="H240" s="378"/>
      <c r="I240" s="41">
        <f t="shared" si="39"/>
        <v>0</v>
      </c>
      <c r="J240" s="165" t="str">
        <f t="shared" si="40"/>
        <v/>
      </c>
      <c r="K240" s="332"/>
      <c r="L240" s="44"/>
      <c r="M240" s="37"/>
      <c r="N240" s="37"/>
      <c r="O240" s="37"/>
      <c r="P240" s="37"/>
      <c r="Q240" s="37"/>
      <c r="R240" s="37"/>
      <c r="S240" s="37"/>
      <c r="T240" s="37"/>
      <c r="U240" s="37"/>
      <c r="V240" s="37"/>
      <c r="W240" s="37"/>
    </row>
    <row r="241" spans="1:23" ht="11.25" customHeight="1" x14ac:dyDescent="0.25">
      <c r="A241" s="36">
        <f>'Org structure'!E67</f>
        <v>0</v>
      </c>
      <c r="B241" s="368"/>
      <c r="C241" s="331"/>
      <c r="D241" s="328"/>
      <c r="E241" s="531"/>
      <c r="F241" s="378"/>
      <c r="G241" s="329"/>
      <c r="H241" s="378"/>
      <c r="I241" s="41">
        <f t="shared" si="39"/>
        <v>0</v>
      </c>
      <c r="J241" s="165" t="str">
        <f t="shared" si="40"/>
        <v/>
      </c>
      <c r="K241" s="332"/>
      <c r="L241" s="44"/>
      <c r="M241" s="37"/>
      <c r="N241" s="37"/>
      <c r="O241" s="37"/>
      <c r="P241" s="37"/>
      <c r="Q241" s="37"/>
      <c r="R241" s="37"/>
      <c r="S241" s="37"/>
      <c r="T241" s="37"/>
      <c r="U241" s="37"/>
      <c r="V241" s="37"/>
      <c r="W241" s="37"/>
    </row>
    <row r="242" spans="1:23" ht="11.25" hidden="1" customHeight="1" x14ac:dyDescent="0.25">
      <c r="A242" s="88" t="str">
        <f>'Org structure'!A8</f>
        <v>Vote 7 - [NAME OF VOTE 7]</v>
      </c>
      <c r="B242" s="363"/>
      <c r="C242" s="397">
        <f t="shared" ref="C242:K242" si="49">SUM(C243:C252)</f>
        <v>0</v>
      </c>
      <c r="D242" s="367">
        <f t="shared" si="49"/>
        <v>0</v>
      </c>
      <c r="E242" s="845">
        <f t="shared" si="49"/>
        <v>0</v>
      </c>
      <c r="F242" s="366">
        <f t="shared" si="49"/>
        <v>0</v>
      </c>
      <c r="G242" s="364">
        <f t="shared" si="49"/>
        <v>0</v>
      </c>
      <c r="H242" s="366">
        <f t="shared" si="49"/>
        <v>0</v>
      </c>
      <c r="I242" s="41">
        <f t="shared" si="39"/>
        <v>0</v>
      </c>
      <c r="J242" s="165" t="str">
        <f t="shared" si="40"/>
        <v/>
      </c>
      <c r="K242" s="365">
        <f t="shared" si="49"/>
        <v>0</v>
      </c>
      <c r="L242" s="44"/>
      <c r="M242" s="37"/>
      <c r="N242" s="37"/>
      <c r="O242" s="37"/>
      <c r="P242" s="37"/>
      <c r="Q242" s="37"/>
      <c r="R242" s="37"/>
      <c r="S242" s="37"/>
      <c r="T242" s="37"/>
      <c r="U242" s="37"/>
      <c r="V242" s="37"/>
      <c r="W242" s="37"/>
    </row>
    <row r="243" spans="1:23" ht="11.25" hidden="1" customHeight="1" x14ac:dyDescent="0.25">
      <c r="A243" s="36" t="str">
        <f>'Org structure'!E69</f>
        <v>7.1 - [Name of sub-vote]</v>
      </c>
      <c r="B243" s="368"/>
      <c r="C243" s="331"/>
      <c r="D243" s="328"/>
      <c r="E243" s="531"/>
      <c r="F243" s="378"/>
      <c r="G243" s="329"/>
      <c r="H243" s="378"/>
      <c r="I243" s="41">
        <f t="shared" si="39"/>
        <v>0</v>
      </c>
      <c r="J243" s="165" t="str">
        <f t="shared" si="40"/>
        <v/>
      </c>
      <c r="K243" s="332"/>
      <c r="L243" s="44"/>
      <c r="M243" s="37"/>
      <c r="N243" s="37"/>
      <c r="O243" s="37"/>
      <c r="P243" s="37"/>
      <c r="Q243" s="37"/>
      <c r="R243" s="37"/>
      <c r="S243" s="37"/>
      <c r="T243" s="37"/>
      <c r="U243" s="37"/>
      <c r="V243" s="37"/>
      <c r="W243" s="37"/>
    </row>
    <row r="244" spans="1:23" ht="11.25" hidden="1" customHeight="1" x14ac:dyDescent="0.25">
      <c r="A244" s="36">
        <f>'Org structure'!E70</f>
        <v>0</v>
      </c>
      <c r="B244" s="368"/>
      <c r="C244" s="331"/>
      <c r="D244" s="328"/>
      <c r="E244" s="531"/>
      <c r="F244" s="378"/>
      <c r="G244" s="329"/>
      <c r="H244" s="378"/>
      <c r="I244" s="41">
        <f t="shared" si="39"/>
        <v>0</v>
      </c>
      <c r="J244" s="165" t="str">
        <f t="shared" si="40"/>
        <v/>
      </c>
      <c r="K244" s="332"/>
      <c r="L244" s="44"/>
      <c r="M244" s="37"/>
      <c r="N244" s="37"/>
      <c r="O244" s="37"/>
      <c r="P244" s="37"/>
      <c r="Q244" s="37"/>
      <c r="R244" s="37"/>
      <c r="S244" s="37"/>
      <c r="T244" s="37"/>
      <c r="U244" s="37"/>
      <c r="V244" s="37"/>
      <c r="W244" s="37"/>
    </row>
    <row r="245" spans="1:23" ht="11.25" hidden="1" customHeight="1" x14ac:dyDescent="0.25">
      <c r="A245" s="36">
        <f>'Org structure'!E71</f>
        <v>0</v>
      </c>
      <c r="B245" s="368"/>
      <c r="C245" s="331"/>
      <c r="D245" s="328"/>
      <c r="E245" s="531"/>
      <c r="F245" s="378"/>
      <c r="G245" s="329"/>
      <c r="H245" s="378"/>
      <c r="I245" s="41">
        <f t="shared" si="39"/>
        <v>0</v>
      </c>
      <c r="J245" s="165" t="str">
        <f t="shared" si="40"/>
        <v/>
      </c>
      <c r="K245" s="332"/>
      <c r="L245" s="44"/>
      <c r="M245" s="37"/>
      <c r="N245" s="37"/>
      <c r="O245" s="37"/>
      <c r="P245" s="37"/>
      <c r="Q245" s="37"/>
      <c r="R245" s="37"/>
      <c r="S245" s="37"/>
      <c r="T245" s="37"/>
      <c r="U245" s="37"/>
      <c r="V245" s="37"/>
      <c r="W245" s="37"/>
    </row>
    <row r="246" spans="1:23" ht="11.25" hidden="1" customHeight="1" x14ac:dyDescent="0.25">
      <c r="A246" s="36">
        <f>'Org structure'!E72</f>
        <v>0</v>
      </c>
      <c r="B246" s="368"/>
      <c r="C246" s="331"/>
      <c r="D246" s="328"/>
      <c r="E246" s="531"/>
      <c r="F246" s="378"/>
      <c r="G246" s="329"/>
      <c r="H246" s="378"/>
      <c r="I246" s="41">
        <f t="shared" si="39"/>
        <v>0</v>
      </c>
      <c r="J246" s="165" t="str">
        <f t="shared" si="40"/>
        <v/>
      </c>
      <c r="K246" s="332"/>
      <c r="L246" s="44"/>
      <c r="M246" s="37"/>
      <c r="N246" s="37"/>
      <c r="O246" s="37"/>
      <c r="P246" s="37"/>
      <c r="Q246" s="37"/>
      <c r="R246" s="37"/>
      <c r="S246" s="37"/>
      <c r="T246" s="37"/>
      <c r="U246" s="37"/>
      <c r="V246" s="37"/>
      <c r="W246" s="37"/>
    </row>
    <row r="247" spans="1:23" ht="11.25" hidden="1" customHeight="1" x14ac:dyDescent="0.25">
      <c r="A247" s="36">
        <f>'Org structure'!E73</f>
        <v>0</v>
      </c>
      <c r="B247" s="368"/>
      <c r="C247" s="331"/>
      <c r="D247" s="328"/>
      <c r="E247" s="531"/>
      <c r="F247" s="378"/>
      <c r="G247" s="329"/>
      <c r="H247" s="378"/>
      <c r="I247" s="41">
        <f t="shared" si="39"/>
        <v>0</v>
      </c>
      <c r="J247" s="165" t="str">
        <f t="shared" si="40"/>
        <v/>
      </c>
      <c r="K247" s="332"/>
      <c r="L247" s="44"/>
      <c r="M247" s="37"/>
      <c r="N247" s="37"/>
      <c r="O247" s="37"/>
      <c r="P247" s="37"/>
      <c r="Q247" s="37"/>
      <c r="R247" s="37"/>
      <c r="S247" s="37"/>
      <c r="T247" s="37"/>
      <c r="U247" s="37"/>
      <c r="V247" s="37"/>
      <c r="W247" s="37"/>
    </row>
    <row r="248" spans="1:23" ht="11.25" hidden="1" customHeight="1" x14ac:dyDescent="0.25">
      <c r="A248" s="36">
        <f>'Org structure'!E74</f>
        <v>0</v>
      </c>
      <c r="B248" s="368"/>
      <c r="C248" s="331"/>
      <c r="D248" s="328"/>
      <c r="E248" s="531"/>
      <c r="F248" s="378"/>
      <c r="G248" s="329"/>
      <c r="H248" s="378"/>
      <c r="I248" s="41">
        <f t="shared" si="39"/>
        <v>0</v>
      </c>
      <c r="J248" s="165" t="str">
        <f t="shared" si="40"/>
        <v/>
      </c>
      <c r="K248" s="332"/>
      <c r="L248" s="44"/>
      <c r="M248" s="37"/>
      <c r="N248" s="37"/>
      <c r="O248" s="37"/>
      <c r="P248" s="37"/>
      <c r="Q248" s="37"/>
      <c r="R248" s="37"/>
      <c r="S248" s="37"/>
      <c r="T248" s="37"/>
      <c r="U248" s="37"/>
      <c r="V248" s="37"/>
      <c r="W248" s="37"/>
    </row>
    <row r="249" spans="1:23" ht="11.25" hidden="1" customHeight="1" x14ac:dyDescent="0.25">
      <c r="A249" s="36">
        <f>'Org structure'!E75</f>
        <v>0</v>
      </c>
      <c r="B249" s="368"/>
      <c r="C249" s="331"/>
      <c r="D249" s="328"/>
      <c r="E249" s="531"/>
      <c r="F249" s="378"/>
      <c r="G249" s="329"/>
      <c r="H249" s="378"/>
      <c r="I249" s="41">
        <f t="shared" si="39"/>
        <v>0</v>
      </c>
      <c r="J249" s="165" t="str">
        <f t="shared" si="40"/>
        <v/>
      </c>
      <c r="K249" s="332"/>
      <c r="L249" s="44"/>
      <c r="M249" s="37"/>
      <c r="N249" s="37"/>
      <c r="O249" s="37"/>
      <c r="P249" s="37"/>
      <c r="Q249" s="37"/>
      <c r="R249" s="37"/>
      <c r="S249" s="37"/>
      <c r="T249" s="37"/>
      <c r="U249" s="37"/>
      <c r="V249" s="37"/>
      <c r="W249" s="37"/>
    </row>
    <row r="250" spans="1:23" ht="11.25" hidden="1" customHeight="1" x14ac:dyDescent="0.25">
      <c r="A250" s="36">
        <f>'Org structure'!E76</f>
        <v>0</v>
      </c>
      <c r="B250" s="368"/>
      <c r="C250" s="331"/>
      <c r="D250" s="328"/>
      <c r="E250" s="531"/>
      <c r="F250" s="378"/>
      <c r="G250" s="329"/>
      <c r="H250" s="378"/>
      <c r="I250" s="41">
        <f t="shared" si="39"/>
        <v>0</v>
      </c>
      <c r="J250" s="165" t="str">
        <f t="shared" si="40"/>
        <v/>
      </c>
      <c r="K250" s="332"/>
      <c r="L250" s="44"/>
      <c r="M250" s="37"/>
      <c r="N250" s="37"/>
      <c r="O250" s="37"/>
      <c r="P250" s="37"/>
      <c r="Q250" s="37"/>
      <c r="R250" s="37"/>
      <c r="S250" s="37"/>
      <c r="T250" s="37"/>
      <c r="U250" s="37"/>
      <c r="V250" s="37"/>
      <c r="W250" s="37"/>
    </row>
    <row r="251" spans="1:23" ht="11.25" hidden="1" customHeight="1" x14ac:dyDescent="0.25">
      <c r="A251" s="36">
        <f>'Org structure'!E77</f>
        <v>0</v>
      </c>
      <c r="B251" s="368"/>
      <c r="C251" s="331"/>
      <c r="D251" s="328"/>
      <c r="E251" s="531"/>
      <c r="F251" s="378"/>
      <c r="G251" s="329"/>
      <c r="H251" s="378"/>
      <c r="I251" s="41">
        <f t="shared" si="39"/>
        <v>0</v>
      </c>
      <c r="J251" s="165" t="str">
        <f t="shared" si="40"/>
        <v/>
      </c>
      <c r="K251" s="332"/>
      <c r="L251" s="44"/>
      <c r="M251" s="37"/>
      <c r="N251" s="37"/>
      <c r="O251" s="37"/>
      <c r="P251" s="37"/>
      <c r="Q251" s="37"/>
      <c r="R251" s="37"/>
      <c r="S251" s="37"/>
      <c r="T251" s="37"/>
      <c r="U251" s="37"/>
      <c r="V251" s="37"/>
      <c r="W251" s="37"/>
    </row>
    <row r="252" spans="1:23" ht="11.25" hidden="1" customHeight="1" x14ac:dyDescent="0.25">
      <c r="A252" s="36">
        <f>'Org structure'!E78</f>
        <v>0</v>
      </c>
      <c r="B252" s="368"/>
      <c r="C252" s="331"/>
      <c r="D252" s="328"/>
      <c r="E252" s="531"/>
      <c r="F252" s="378"/>
      <c r="G252" s="329"/>
      <c r="H252" s="378"/>
      <c r="I252" s="41">
        <f t="shared" si="39"/>
        <v>0</v>
      </c>
      <c r="J252" s="165" t="str">
        <f t="shared" si="40"/>
        <v/>
      </c>
      <c r="K252" s="332"/>
      <c r="L252" s="44"/>
      <c r="M252" s="37"/>
      <c r="N252" s="37"/>
      <c r="O252" s="37"/>
      <c r="P252" s="37"/>
      <c r="Q252" s="37"/>
      <c r="R252" s="37"/>
      <c r="S252" s="37"/>
      <c r="T252" s="37"/>
      <c r="U252" s="37"/>
      <c r="V252" s="37"/>
      <c r="W252" s="37"/>
    </row>
    <row r="253" spans="1:23" ht="11.25" hidden="1" customHeight="1" x14ac:dyDescent="0.25">
      <c r="A253" s="88" t="str">
        <f>'Org structure'!A9</f>
        <v>Vote 8 - [NAME OF VOTE 8]</v>
      </c>
      <c r="B253" s="368"/>
      <c r="C253" s="397">
        <f t="shared" ref="C253:K253" si="50">SUM(C254:C263)</f>
        <v>0</v>
      </c>
      <c r="D253" s="367">
        <f t="shared" si="50"/>
        <v>0</v>
      </c>
      <c r="E253" s="845">
        <f t="shared" si="50"/>
        <v>0</v>
      </c>
      <c r="F253" s="366">
        <f t="shared" si="50"/>
        <v>0</v>
      </c>
      <c r="G253" s="364">
        <f t="shared" si="50"/>
        <v>0</v>
      </c>
      <c r="H253" s="366">
        <f t="shared" si="50"/>
        <v>0</v>
      </c>
      <c r="I253" s="41">
        <f t="shared" si="39"/>
        <v>0</v>
      </c>
      <c r="J253" s="165" t="str">
        <f t="shared" si="40"/>
        <v/>
      </c>
      <c r="K253" s="365">
        <f t="shared" si="50"/>
        <v>0</v>
      </c>
      <c r="L253" s="44"/>
      <c r="M253" s="37"/>
      <c r="N253" s="37"/>
      <c r="O253" s="37"/>
      <c r="P253" s="37"/>
      <c r="Q253" s="37"/>
      <c r="R253" s="37"/>
      <c r="S253" s="37"/>
      <c r="T253" s="37"/>
      <c r="U253" s="37"/>
      <c r="V253" s="37"/>
      <c r="W253" s="37"/>
    </row>
    <row r="254" spans="1:23" ht="11.25" hidden="1" customHeight="1" x14ac:dyDescent="0.25">
      <c r="A254" s="36" t="str">
        <f>'Org structure'!E80</f>
        <v>8.1 - [Name of sub-vote]</v>
      </c>
      <c r="B254" s="368"/>
      <c r="C254" s="331"/>
      <c r="D254" s="328"/>
      <c r="E254" s="531"/>
      <c r="F254" s="378"/>
      <c r="G254" s="329"/>
      <c r="H254" s="378"/>
      <c r="I254" s="41">
        <f t="shared" si="39"/>
        <v>0</v>
      </c>
      <c r="J254" s="165" t="str">
        <f t="shared" si="40"/>
        <v/>
      </c>
      <c r="K254" s="332"/>
      <c r="L254" s="44"/>
      <c r="M254" s="37"/>
      <c r="N254" s="37"/>
      <c r="O254" s="37"/>
      <c r="P254" s="37"/>
      <c r="Q254" s="37"/>
      <c r="R254" s="37"/>
      <c r="S254" s="37"/>
      <c r="T254" s="37"/>
      <c r="U254" s="37"/>
      <c r="V254" s="37"/>
      <c r="W254" s="37"/>
    </row>
    <row r="255" spans="1:23" ht="11.25" hidden="1" customHeight="1" x14ac:dyDescent="0.25">
      <c r="A255" s="36">
        <f>'Org structure'!E81</f>
        <v>0</v>
      </c>
      <c r="B255" s="368"/>
      <c r="C255" s="331"/>
      <c r="D255" s="328"/>
      <c r="E255" s="531"/>
      <c r="F255" s="378"/>
      <c r="G255" s="329"/>
      <c r="H255" s="378"/>
      <c r="I255" s="41">
        <f t="shared" si="39"/>
        <v>0</v>
      </c>
      <c r="J255" s="165" t="str">
        <f t="shared" si="40"/>
        <v/>
      </c>
      <c r="K255" s="332"/>
      <c r="L255" s="44"/>
      <c r="M255" s="37"/>
      <c r="N255" s="37"/>
      <c r="O255" s="37"/>
      <c r="P255" s="37"/>
      <c r="Q255" s="37"/>
      <c r="R255" s="37"/>
      <c r="S255" s="37"/>
      <c r="T255" s="37"/>
      <c r="U255" s="37"/>
      <c r="V255" s="37"/>
      <c r="W255" s="37"/>
    </row>
    <row r="256" spans="1:23" ht="11.25" hidden="1" customHeight="1" x14ac:dyDescent="0.25">
      <c r="A256" s="36">
        <f>'Org structure'!E82</f>
        <v>0</v>
      </c>
      <c r="B256" s="368"/>
      <c r="C256" s="331"/>
      <c r="D256" s="328"/>
      <c r="E256" s="531"/>
      <c r="F256" s="378"/>
      <c r="G256" s="329"/>
      <c r="H256" s="378"/>
      <c r="I256" s="41">
        <f t="shared" si="39"/>
        <v>0</v>
      </c>
      <c r="J256" s="165" t="str">
        <f t="shared" si="40"/>
        <v/>
      </c>
      <c r="K256" s="332"/>
      <c r="L256" s="44"/>
      <c r="M256" s="37"/>
      <c r="N256" s="37"/>
      <c r="O256" s="37"/>
      <c r="P256" s="37"/>
      <c r="Q256" s="37"/>
      <c r="R256" s="37"/>
      <c r="S256" s="37"/>
      <c r="T256" s="37"/>
      <c r="U256" s="37"/>
      <c r="V256" s="37"/>
      <c r="W256" s="37"/>
    </row>
    <row r="257" spans="1:23" ht="11.25" hidden="1" customHeight="1" x14ac:dyDescent="0.25">
      <c r="A257" s="36">
        <f>'Org structure'!E83</f>
        <v>0</v>
      </c>
      <c r="B257" s="368"/>
      <c r="C257" s="331"/>
      <c r="D257" s="328"/>
      <c r="E257" s="531"/>
      <c r="F257" s="378"/>
      <c r="G257" s="329"/>
      <c r="H257" s="378"/>
      <c r="I257" s="41">
        <f t="shared" si="39"/>
        <v>0</v>
      </c>
      <c r="J257" s="165" t="str">
        <f t="shared" si="40"/>
        <v/>
      </c>
      <c r="K257" s="332"/>
      <c r="L257" s="44"/>
      <c r="M257" s="37"/>
      <c r="N257" s="37"/>
      <c r="O257" s="37"/>
      <c r="P257" s="37"/>
      <c r="Q257" s="37"/>
      <c r="R257" s="37"/>
      <c r="S257" s="37"/>
      <c r="T257" s="37"/>
      <c r="U257" s="37"/>
      <c r="V257" s="37"/>
      <c r="W257" s="37"/>
    </row>
    <row r="258" spans="1:23" ht="11.25" hidden="1" customHeight="1" x14ac:dyDescent="0.25">
      <c r="A258" s="36">
        <f>'Org structure'!E84</f>
        <v>0</v>
      </c>
      <c r="B258" s="368"/>
      <c r="C258" s="331"/>
      <c r="D258" s="328"/>
      <c r="E258" s="531"/>
      <c r="F258" s="378"/>
      <c r="G258" s="329"/>
      <c r="H258" s="378"/>
      <c r="I258" s="41">
        <f t="shared" si="39"/>
        <v>0</v>
      </c>
      <c r="J258" s="165" t="str">
        <f t="shared" si="40"/>
        <v/>
      </c>
      <c r="K258" s="332"/>
      <c r="L258" s="44"/>
      <c r="M258" s="37"/>
      <c r="N258" s="37"/>
      <c r="O258" s="37"/>
      <c r="P258" s="37"/>
      <c r="Q258" s="37"/>
      <c r="R258" s="37"/>
      <c r="S258" s="37"/>
      <c r="T258" s="37"/>
      <c r="U258" s="37"/>
      <c r="V258" s="37"/>
      <c r="W258" s="37"/>
    </row>
    <row r="259" spans="1:23" ht="11.25" hidden="1" customHeight="1" x14ac:dyDescent="0.25">
      <c r="A259" s="36">
        <f>'Org structure'!E85</f>
        <v>0</v>
      </c>
      <c r="B259" s="368"/>
      <c r="C259" s="331"/>
      <c r="D259" s="328"/>
      <c r="E259" s="531"/>
      <c r="F259" s="378"/>
      <c r="G259" s="329"/>
      <c r="H259" s="378"/>
      <c r="I259" s="41">
        <f t="shared" si="39"/>
        <v>0</v>
      </c>
      <c r="J259" s="165" t="str">
        <f t="shared" si="40"/>
        <v/>
      </c>
      <c r="K259" s="332"/>
      <c r="L259" s="44"/>
      <c r="M259" s="37"/>
      <c r="N259" s="37"/>
      <c r="O259" s="37"/>
      <c r="P259" s="37"/>
      <c r="Q259" s="37"/>
      <c r="R259" s="37"/>
      <c r="S259" s="37"/>
      <c r="T259" s="37"/>
      <c r="U259" s="37"/>
      <c r="V259" s="37"/>
      <c r="W259" s="37"/>
    </row>
    <row r="260" spans="1:23" ht="11.25" hidden="1" customHeight="1" x14ac:dyDescent="0.25">
      <c r="A260" s="36">
        <f>'Org structure'!E86</f>
        <v>0</v>
      </c>
      <c r="B260" s="368"/>
      <c r="C260" s="331"/>
      <c r="D260" s="328"/>
      <c r="E260" s="531"/>
      <c r="F260" s="378"/>
      <c r="G260" s="329"/>
      <c r="H260" s="378"/>
      <c r="I260" s="41">
        <f t="shared" si="39"/>
        <v>0</v>
      </c>
      <c r="J260" s="165" t="str">
        <f t="shared" si="40"/>
        <v/>
      </c>
      <c r="K260" s="332"/>
      <c r="L260" s="44"/>
      <c r="M260" s="37"/>
      <c r="N260" s="37"/>
      <c r="O260" s="37"/>
      <c r="P260" s="37"/>
      <c r="Q260" s="37"/>
      <c r="R260" s="37"/>
      <c r="S260" s="37"/>
      <c r="T260" s="37"/>
      <c r="U260" s="37"/>
      <c r="V260" s="37"/>
      <c r="W260" s="37"/>
    </row>
    <row r="261" spans="1:23" ht="11.25" hidden="1" customHeight="1" x14ac:dyDescent="0.25">
      <c r="A261" s="36">
        <f>'Org structure'!E87</f>
        <v>0</v>
      </c>
      <c r="B261" s="368"/>
      <c r="C261" s="331"/>
      <c r="D261" s="328"/>
      <c r="E261" s="531"/>
      <c r="F261" s="378"/>
      <c r="G261" s="329"/>
      <c r="H261" s="378"/>
      <c r="I261" s="41">
        <f t="shared" si="39"/>
        <v>0</v>
      </c>
      <c r="J261" s="165" t="str">
        <f t="shared" si="40"/>
        <v/>
      </c>
      <c r="K261" s="332"/>
      <c r="L261" s="44"/>
      <c r="M261" s="37"/>
      <c r="N261" s="37"/>
      <c r="O261" s="37"/>
      <c r="P261" s="37"/>
      <c r="Q261" s="37"/>
      <c r="R261" s="37"/>
      <c r="S261" s="37"/>
      <c r="T261" s="37"/>
      <c r="U261" s="37"/>
      <c r="V261" s="37"/>
      <c r="W261" s="37"/>
    </row>
    <row r="262" spans="1:23" ht="11.25" hidden="1" customHeight="1" x14ac:dyDescent="0.25">
      <c r="A262" s="36">
        <f>'Org structure'!E88</f>
        <v>0</v>
      </c>
      <c r="B262" s="368"/>
      <c r="C262" s="331"/>
      <c r="D262" s="328"/>
      <c r="E262" s="531"/>
      <c r="F262" s="378"/>
      <c r="G262" s="329"/>
      <c r="H262" s="378"/>
      <c r="I262" s="41">
        <f t="shared" si="39"/>
        <v>0</v>
      </c>
      <c r="J262" s="165" t="str">
        <f t="shared" si="40"/>
        <v/>
      </c>
      <c r="K262" s="332"/>
      <c r="L262" s="44"/>
      <c r="M262" s="37"/>
      <c r="N262" s="37"/>
      <c r="O262" s="37"/>
      <c r="P262" s="37"/>
      <c r="Q262" s="37"/>
      <c r="R262" s="37"/>
      <c r="S262" s="37"/>
      <c r="T262" s="37"/>
      <c r="U262" s="37"/>
      <c r="V262" s="37"/>
      <c r="W262" s="37"/>
    </row>
    <row r="263" spans="1:23" ht="11.25" hidden="1" customHeight="1" x14ac:dyDescent="0.25">
      <c r="A263" s="36">
        <f>'Org structure'!E89</f>
        <v>0</v>
      </c>
      <c r="B263" s="368"/>
      <c r="C263" s="331"/>
      <c r="D263" s="328"/>
      <c r="E263" s="531"/>
      <c r="F263" s="378"/>
      <c r="G263" s="329"/>
      <c r="H263" s="378"/>
      <c r="I263" s="41">
        <f t="shared" si="39"/>
        <v>0</v>
      </c>
      <c r="J263" s="165" t="str">
        <f t="shared" si="40"/>
        <v/>
      </c>
      <c r="K263" s="332"/>
      <c r="L263" s="44"/>
      <c r="M263" s="37"/>
      <c r="N263" s="37"/>
      <c r="O263" s="37"/>
      <c r="P263" s="37"/>
      <c r="Q263" s="37"/>
      <c r="R263" s="37"/>
      <c r="S263" s="37"/>
      <c r="T263" s="37"/>
      <c r="U263" s="37"/>
      <c r="V263" s="37"/>
      <c r="W263" s="37"/>
    </row>
    <row r="264" spans="1:23" ht="11.25" hidden="1" customHeight="1" x14ac:dyDescent="0.25">
      <c r="A264" s="88" t="str">
        <f>'Org structure'!A10</f>
        <v>Vote 9 - [NAME OF VOTE 9]</v>
      </c>
      <c r="B264" s="368"/>
      <c r="C264" s="397">
        <f t="shared" ref="C264:K264" si="51">SUM(C265:C274)</f>
        <v>0</v>
      </c>
      <c r="D264" s="367">
        <f t="shared" si="51"/>
        <v>0</v>
      </c>
      <c r="E264" s="845">
        <f t="shared" si="51"/>
        <v>0</v>
      </c>
      <c r="F264" s="366">
        <f t="shared" si="51"/>
        <v>0</v>
      </c>
      <c r="G264" s="364">
        <f t="shared" si="51"/>
        <v>0</v>
      </c>
      <c r="H264" s="366">
        <f t="shared" si="51"/>
        <v>0</v>
      </c>
      <c r="I264" s="41">
        <f t="shared" ref="I264:I327" si="52">G264-H264</f>
        <v>0</v>
      </c>
      <c r="J264" s="165" t="str">
        <f t="shared" ref="J264:J327" si="53">IF(I264=0,"",I264/H264)</f>
        <v/>
      </c>
      <c r="K264" s="365">
        <f t="shared" si="51"/>
        <v>0</v>
      </c>
      <c r="L264" s="44"/>
      <c r="M264" s="37"/>
      <c r="N264" s="37"/>
      <c r="O264" s="37"/>
      <c r="P264" s="37"/>
      <c r="Q264" s="37"/>
      <c r="R264" s="37"/>
      <c r="S264" s="37"/>
      <c r="T264" s="37"/>
      <c r="U264" s="37"/>
      <c r="V264" s="37"/>
      <c r="W264" s="37"/>
    </row>
    <row r="265" spans="1:23" ht="11.25" hidden="1" customHeight="1" x14ac:dyDescent="0.25">
      <c r="A265" s="36" t="str">
        <f>'Org structure'!E91</f>
        <v>9.1 - [Name of sub-vote]</v>
      </c>
      <c r="B265" s="368"/>
      <c r="C265" s="331"/>
      <c r="D265" s="328"/>
      <c r="E265" s="531"/>
      <c r="F265" s="378"/>
      <c r="G265" s="329"/>
      <c r="H265" s="378"/>
      <c r="I265" s="41">
        <f t="shared" si="52"/>
        <v>0</v>
      </c>
      <c r="J265" s="165" t="str">
        <f t="shared" si="53"/>
        <v/>
      </c>
      <c r="K265" s="332"/>
      <c r="L265" s="44"/>
      <c r="M265" s="37"/>
      <c r="N265" s="37"/>
      <c r="O265" s="37"/>
      <c r="P265" s="37"/>
      <c r="Q265" s="37"/>
      <c r="R265" s="37"/>
      <c r="S265" s="37"/>
      <c r="T265" s="37"/>
      <c r="U265" s="37"/>
      <c r="V265" s="37"/>
      <c r="W265" s="37"/>
    </row>
    <row r="266" spans="1:23" ht="11.25" hidden="1" customHeight="1" x14ac:dyDescent="0.25">
      <c r="A266" s="36">
        <f>'Org structure'!E92</f>
        <v>0</v>
      </c>
      <c r="B266" s="368"/>
      <c r="C266" s="331"/>
      <c r="D266" s="328"/>
      <c r="E266" s="531"/>
      <c r="F266" s="378"/>
      <c r="G266" s="329"/>
      <c r="H266" s="378"/>
      <c r="I266" s="41">
        <f t="shared" si="52"/>
        <v>0</v>
      </c>
      <c r="J266" s="165" t="str">
        <f t="shared" si="53"/>
        <v/>
      </c>
      <c r="K266" s="332"/>
      <c r="L266" s="44"/>
      <c r="M266" s="37"/>
      <c r="N266" s="37"/>
      <c r="O266" s="37"/>
      <c r="P266" s="37"/>
      <c r="Q266" s="37"/>
      <c r="R266" s="37"/>
      <c r="S266" s="37"/>
      <c r="T266" s="37"/>
      <c r="U266" s="37"/>
      <c r="V266" s="37"/>
      <c r="W266" s="37"/>
    </row>
    <row r="267" spans="1:23" ht="11.25" hidden="1" customHeight="1" x14ac:dyDescent="0.25">
      <c r="A267" s="36">
        <f>'Org structure'!E93</f>
        <v>0</v>
      </c>
      <c r="B267" s="368"/>
      <c r="C267" s="331"/>
      <c r="D267" s="328"/>
      <c r="E267" s="531"/>
      <c r="F267" s="378"/>
      <c r="G267" s="329"/>
      <c r="H267" s="378"/>
      <c r="I267" s="41">
        <f t="shared" si="52"/>
        <v>0</v>
      </c>
      <c r="J267" s="165" t="str">
        <f t="shared" si="53"/>
        <v/>
      </c>
      <c r="K267" s="332"/>
      <c r="L267" s="44"/>
      <c r="M267" s="37"/>
      <c r="N267" s="37"/>
      <c r="O267" s="37"/>
      <c r="P267" s="37"/>
      <c r="Q267" s="37"/>
      <c r="R267" s="37"/>
      <c r="S267" s="37"/>
      <c r="T267" s="37"/>
      <c r="U267" s="37"/>
      <c r="V267" s="37"/>
      <c r="W267" s="37"/>
    </row>
    <row r="268" spans="1:23" ht="11.25" hidden="1" customHeight="1" x14ac:dyDescent="0.25">
      <c r="A268" s="36">
        <f>'Org structure'!E94</f>
        <v>0</v>
      </c>
      <c r="B268" s="368"/>
      <c r="C268" s="331"/>
      <c r="D268" s="328"/>
      <c r="E268" s="531"/>
      <c r="F268" s="378"/>
      <c r="G268" s="329"/>
      <c r="H268" s="378"/>
      <c r="I268" s="41">
        <f t="shared" si="52"/>
        <v>0</v>
      </c>
      <c r="J268" s="165" t="str">
        <f t="shared" si="53"/>
        <v/>
      </c>
      <c r="K268" s="332"/>
      <c r="L268" s="44"/>
      <c r="M268" s="37"/>
      <c r="N268" s="37"/>
      <c r="O268" s="37"/>
      <c r="P268" s="37"/>
      <c r="Q268" s="37"/>
      <c r="R268" s="37"/>
      <c r="S268" s="37"/>
      <c r="T268" s="37"/>
      <c r="U268" s="37"/>
      <c r="V268" s="37"/>
      <c r="W268" s="37"/>
    </row>
    <row r="269" spans="1:23" ht="11.25" hidden="1" customHeight="1" x14ac:dyDescent="0.25">
      <c r="A269" s="36">
        <f>'Org structure'!E95</f>
        <v>0</v>
      </c>
      <c r="B269" s="368"/>
      <c r="C269" s="331"/>
      <c r="D269" s="328"/>
      <c r="E269" s="531"/>
      <c r="F269" s="378"/>
      <c r="G269" s="329"/>
      <c r="H269" s="378"/>
      <c r="I269" s="41">
        <f t="shared" si="52"/>
        <v>0</v>
      </c>
      <c r="J269" s="165" t="str">
        <f t="shared" si="53"/>
        <v/>
      </c>
      <c r="K269" s="332"/>
      <c r="L269" s="44"/>
      <c r="M269" s="37"/>
      <c r="N269" s="37"/>
      <c r="O269" s="37"/>
      <c r="P269" s="37"/>
      <c r="Q269" s="37"/>
      <c r="R269" s="37"/>
      <c r="S269" s="37"/>
      <c r="T269" s="37"/>
      <c r="U269" s="37"/>
      <c r="V269" s="37"/>
      <c r="W269" s="37"/>
    </row>
    <row r="270" spans="1:23" ht="11.25" hidden="1" customHeight="1" x14ac:dyDescent="0.25">
      <c r="A270" s="36">
        <f>'Org structure'!E96</f>
        <v>0</v>
      </c>
      <c r="B270" s="368"/>
      <c r="C270" s="331"/>
      <c r="D270" s="328"/>
      <c r="E270" s="531"/>
      <c r="F270" s="378"/>
      <c r="G270" s="329"/>
      <c r="H270" s="378"/>
      <c r="I270" s="41">
        <f t="shared" si="52"/>
        <v>0</v>
      </c>
      <c r="J270" s="165" t="str">
        <f t="shared" si="53"/>
        <v/>
      </c>
      <c r="K270" s="332"/>
      <c r="L270" s="44"/>
      <c r="M270" s="37"/>
      <c r="N270" s="37"/>
      <c r="O270" s="37"/>
      <c r="P270" s="37"/>
      <c r="Q270" s="37"/>
      <c r="R270" s="37"/>
      <c r="S270" s="37"/>
      <c r="T270" s="37"/>
      <c r="U270" s="37"/>
      <c r="V270" s="37"/>
      <c r="W270" s="37"/>
    </row>
    <row r="271" spans="1:23" ht="11.25" hidden="1" customHeight="1" x14ac:dyDescent="0.25">
      <c r="A271" s="36">
        <f>'Org structure'!E97</f>
        <v>0</v>
      </c>
      <c r="B271" s="368"/>
      <c r="C271" s="331"/>
      <c r="D271" s="328"/>
      <c r="E271" s="531"/>
      <c r="F271" s="378"/>
      <c r="G271" s="329"/>
      <c r="H271" s="378"/>
      <c r="I271" s="41">
        <f t="shared" si="52"/>
        <v>0</v>
      </c>
      <c r="J271" s="165" t="str">
        <f t="shared" si="53"/>
        <v/>
      </c>
      <c r="K271" s="332"/>
      <c r="L271" s="44"/>
      <c r="M271" s="37"/>
      <c r="N271" s="37"/>
      <c r="O271" s="37"/>
      <c r="P271" s="37"/>
      <c r="Q271" s="37"/>
      <c r="R271" s="37"/>
      <c r="S271" s="37"/>
      <c r="T271" s="37"/>
      <c r="U271" s="37"/>
      <c r="V271" s="37"/>
      <c r="W271" s="37"/>
    </row>
    <row r="272" spans="1:23" ht="11.25" hidden="1" customHeight="1" x14ac:dyDescent="0.25">
      <c r="A272" s="36">
        <f>'Org structure'!E98</f>
        <v>0</v>
      </c>
      <c r="B272" s="368"/>
      <c r="C272" s="331"/>
      <c r="D272" s="328"/>
      <c r="E272" s="531"/>
      <c r="F272" s="378"/>
      <c r="G272" s="329"/>
      <c r="H272" s="378"/>
      <c r="I272" s="41">
        <f t="shared" si="52"/>
        <v>0</v>
      </c>
      <c r="J272" s="165" t="str">
        <f t="shared" si="53"/>
        <v/>
      </c>
      <c r="K272" s="332"/>
      <c r="L272" s="44"/>
      <c r="M272" s="37"/>
      <c r="N272" s="37"/>
      <c r="O272" s="37"/>
      <c r="P272" s="37"/>
      <c r="Q272" s="37"/>
      <c r="R272" s="37"/>
      <c r="S272" s="37"/>
      <c r="T272" s="37"/>
      <c r="U272" s="37"/>
      <c r="V272" s="37"/>
      <c r="W272" s="37"/>
    </row>
    <row r="273" spans="1:23" ht="11.25" hidden="1" customHeight="1" x14ac:dyDescent="0.25">
      <c r="A273" s="36">
        <f>'Org structure'!E99</f>
        <v>0</v>
      </c>
      <c r="B273" s="368"/>
      <c r="C273" s="331"/>
      <c r="D273" s="328"/>
      <c r="E273" s="531"/>
      <c r="F273" s="378"/>
      <c r="G273" s="329"/>
      <c r="H273" s="378"/>
      <c r="I273" s="41">
        <f t="shared" si="52"/>
        <v>0</v>
      </c>
      <c r="J273" s="165" t="str">
        <f t="shared" si="53"/>
        <v/>
      </c>
      <c r="K273" s="332"/>
      <c r="L273" s="44"/>
      <c r="M273" s="37"/>
      <c r="N273" s="37"/>
      <c r="O273" s="37"/>
      <c r="P273" s="37"/>
      <c r="Q273" s="37"/>
      <c r="R273" s="37"/>
      <c r="S273" s="37"/>
      <c r="T273" s="37"/>
      <c r="U273" s="37"/>
      <c r="V273" s="37"/>
      <c r="W273" s="37"/>
    </row>
    <row r="274" spans="1:23" ht="11.25" hidden="1" customHeight="1" x14ac:dyDescent="0.25">
      <c r="A274" s="36">
        <f>'Org structure'!E100</f>
        <v>0</v>
      </c>
      <c r="B274" s="368"/>
      <c r="C274" s="331"/>
      <c r="D274" s="328"/>
      <c r="E274" s="531"/>
      <c r="F274" s="378"/>
      <c r="G274" s="329"/>
      <c r="H274" s="378"/>
      <c r="I274" s="41">
        <f t="shared" si="52"/>
        <v>0</v>
      </c>
      <c r="J274" s="165" t="str">
        <f t="shared" si="53"/>
        <v/>
      </c>
      <c r="K274" s="332"/>
      <c r="L274" s="44"/>
      <c r="M274" s="37"/>
      <c r="N274" s="37"/>
      <c r="O274" s="37"/>
      <c r="P274" s="37"/>
      <c r="Q274" s="37"/>
      <c r="R274" s="37"/>
      <c r="S274" s="37"/>
      <c r="T274" s="37"/>
      <c r="U274" s="37"/>
      <c r="V274" s="37"/>
      <c r="W274" s="37"/>
    </row>
    <row r="275" spans="1:23" ht="11.25" hidden="1" customHeight="1" x14ac:dyDescent="0.25">
      <c r="A275" s="88" t="str">
        <f>'Org structure'!A11</f>
        <v>Vote 10 - [NAME OF VOTE 10]</v>
      </c>
      <c r="B275" s="368"/>
      <c r="C275" s="397">
        <f t="shared" ref="C275:K275" si="54">SUM(C276:C285)</f>
        <v>0</v>
      </c>
      <c r="D275" s="367">
        <f t="shared" si="54"/>
        <v>0</v>
      </c>
      <c r="E275" s="845">
        <f t="shared" si="54"/>
        <v>0</v>
      </c>
      <c r="F275" s="366">
        <f t="shared" si="54"/>
        <v>0</v>
      </c>
      <c r="G275" s="364">
        <f t="shared" si="54"/>
        <v>0</v>
      </c>
      <c r="H275" s="366">
        <f t="shared" si="54"/>
        <v>0</v>
      </c>
      <c r="I275" s="41">
        <f t="shared" si="52"/>
        <v>0</v>
      </c>
      <c r="J275" s="165" t="str">
        <f t="shared" si="53"/>
        <v/>
      </c>
      <c r="K275" s="365">
        <f t="shared" si="54"/>
        <v>0</v>
      </c>
      <c r="L275" s="44"/>
      <c r="M275" s="37"/>
      <c r="N275" s="37"/>
      <c r="O275" s="37"/>
      <c r="P275" s="37"/>
      <c r="Q275" s="37"/>
      <c r="R275" s="37"/>
      <c r="S275" s="37"/>
      <c r="T275" s="37"/>
      <c r="U275" s="37"/>
      <c r="V275" s="37"/>
      <c r="W275" s="37"/>
    </row>
    <row r="276" spans="1:23" ht="11.25" hidden="1" customHeight="1" x14ac:dyDescent="0.25">
      <c r="A276" s="36" t="str">
        <f>'Org structure'!E102</f>
        <v>10.1 - [Name of sub-vote]</v>
      </c>
      <c r="B276" s="368"/>
      <c r="C276" s="331"/>
      <c r="D276" s="328"/>
      <c r="E276" s="531"/>
      <c r="F276" s="378"/>
      <c r="G276" s="329"/>
      <c r="H276" s="378"/>
      <c r="I276" s="41">
        <f t="shared" si="52"/>
        <v>0</v>
      </c>
      <c r="J276" s="165" t="str">
        <f t="shared" si="53"/>
        <v/>
      </c>
      <c r="K276" s="332"/>
      <c r="L276" s="44"/>
      <c r="M276" s="37"/>
      <c r="N276" s="37"/>
      <c r="O276" s="37"/>
      <c r="P276" s="37"/>
      <c r="Q276" s="37"/>
      <c r="R276" s="37"/>
      <c r="S276" s="37"/>
      <c r="T276" s="37"/>
      <c r="U276" s="37"/>
      <c r="V276" s="37"/>
      <c r="W276" s="37"/>
    </row>
    <row r="277" spans="1:23" ht="11.25" hidden="1" customHeight="1" x14ac:dyDescent="0.25">
      <c r="A277" s="36">
        <f>'Org structure'!E103</f>
        <v>0</v>
      </c>
      <c r="B277" s="368"/>
      <c r="C277" s="331"/>
      <c r="D277" s="328"/>
      <c r="E277" s="531"/>
      <c r="F277" s="378"/>
      <c r="G277" s="329"/>
      <c r="H277" s="378"/>
      <c r="I277" s="41">
        <f t="shared" si="52"/>
        <v>0</v>
      </c>
      <c r="J277" s="165" t="str">
        <f t="shared" si="53"/>
        <v/>
      </c>
      <c r="K277" s="332"/>
      <c r="L277" s="44"/>
      <c r="M277" s="37"/>
      <c r="N277" s="37"/>
      <c r="O277" s="37"/>
      <c r="P277" s="37"/>
      <c r="Q277" s="37"/>
      <c r="R277" s="37"/>
      <c r="S277" s="37"/>
      <c r="T277" s="37"/>
      <c r="U277" s="37"/>
      <c r="V277" s="37"/>
      <c r="W277" s="37"/>
    </row>
    <row r="278" spans="1:23" ht="11.25" hidden="1" customHeight="1" x14ac:dyDescent="0.25">
      <c r="A278" s="36">
        <f>'Org structure'!E104</f>
        <v>0</v>
      </c>
      <c r="B278" s="368"/>
      <c r="C278" s="331"/>
      <c r="D278" s="328"/>
      <c r="E278" s="531"/>
      <c r="F278" s="378"/>
      <c r="G278" s="329"/>
      <c r="H278" s="378"/>
      <c r="I278" s="41">
        <f t="shared" si="52"/>
        <v>0</v>
      </c>
      <c r="J278" s="165" t="str">
        <f t="shared" si="53"/>
        <v/>
      </c>
      <c r="K278" s="332"/>
      <c r="L278" s="44"/>
      <c r="M278" s="37"/>
      <c r="N278" s="37"/>
      <c r="O278" s="37"/>
      <c r="P278" s="37"/>
      <c r="Q278" s="37"/>
      <c r="R278" s="37"/>
      <c r="S278" s="37"/>
      <c r="T278" s="37"/>
      <c r="U278" s="37"/>
      <c r="V278" s="37"/>
      <c r="W278" s="37"/>
    </row>
    <row r="279" spans="1:23" ht="11.25" hidden="1" customHeight="1" x14ac:dyDescent="0.25">
      <c r="A279" s="36">
        <f>'Org structure'!E105</f>
        <v>0</v>
      </c>
      <c r="B279" s="368"/>
      <c r="C279" s="331"/>
      <c r="D279" s="328"/>
      <c r="E279" s="531"/>
      <c r="F279" s="378"/>
      <c r="G279" s="329"/>
      <c r="H279" s="378"/>
      <c r="I279" s="41">
        <f t="shared" si="52"/>
        <v>0</v>
      </c>
      <c r="J279" s="165" t="str">
        <f t="shared" si="53"/>
        <v/>
      </c>
      <c r="K279" s="332"/>
      <c r="L279" s="44"/>
      <c r="M279" s="37"/>
      <c r="N279" s="37"/>
      <c r="O279" s="37"/>
      <c r="P279" s="37"/>
      <c r="Q279" s="37"/>
      <c r="R279" s="37"/>
      <c r="S279" s="37"/>
      <c r="T279" s="37"/>
      <c r="U279" s="37"/>
      <c r="V279" s="37"/>
      <c r="W279" s="37"/>
    </row>
    <row r="280" spans="1:23" ht="11.25" hidden="1" customHeight="1" x14ac:dyDescent="0.25">
      <c r="A280" s="36">
        <f>'Org structure'!E106</f>
        <v>0</v>
      </c>
      <c r="B280" s="368"/>
      <c r="C280" s="331"/>
      <c r="D280" s="328"/>
      <c r="E280" s="531"/>
      <c r="F280" s="378"/>
      <c r="G280" s="329"/>
      <c r="H280" s="378"/>
      <c r="I280" s="41">
        <f t="shared" si="52"/>
        <v>0</v>
      </c>
      <c r="J280" s="165" t="str">
        <f t="shared" si="53"/>
        <v/>
      </c>
      <c r="K280" s="332"/>
      <c r="L280" s="44"/>
      <c r="M280" s="37"/>
      <c r="N280" s="37"/>
      <c r="O280" s="37"/>
      <c r="P280" s="37"/>
      <c r="Q280" s="37"/>
      <c r="R280" s="37"/>
      <c r="S280" s="37"/>
      <c r="T280" s="37"/>
      <c r="U280" s="37"/>
      <c r="V280" s="37"/>
      <c r="W280" s="37"/>
    </row>
    <row r="281" spans="1:23" ht="11.25" hidden="1" customHeight="1" x14ac:dyDescent="0.25">
      <c r="A281" s="36">
        <f>'Org structure'!E107</f>
        <v>0</v>
      </c>
      <c r="B281" s="368"/>
      <c r="C281" s="331"/>
      <c r="D281" s="328"/>
      <c r="E281" s="531"/>
      <c r="F281" s="378"/>
      <c r="G281" s="329"/>
      <c r="H281" s="378"/>
      <c r="I281" s="41">
        <f t="shared" si="52"/>
        <v>0</v>
      </c>
      <c r="J281" s="165" t="str">
        <f t="shared" si="53"/>
        <v/>
      </c>
      <c r="K281" s="332"/>
      <c r="L281" s="44"/>
      <c r="M281" s="37"/>
      <c r="N281" s="37"/>
      <c r="O281" s="37"/>
      <c r="P281" s="37"/>
      <c r="Q281" s="37"/>
      <c r="R281" s="37"/>
      <c r="S281" s="37"/>
      <c r="T281" s="37"/>
      <c r="U281" s="37"/>
      <c r="V281" s="37"/>
      <c r="W281" s="37"/>
    </row>
    <row r="282" spans="1:23" ht="11.25" hidden="1" customHeight="1" x14ac:dyDescent="0.25">
      <c r="A282" s="36">
        <f>'Org structure'!E108</f>
        <v>0</v>
      </c>
      <c r="B282" s="368"/>
      <c r="C282" s="331"/>
      <c r="D282" s="328"/>
      <c r="E282" s="531"/>
      <c r="F282" s="378"/>
      <c r="G282" s="329"/>
      <c r="H282" s="378"/>
      <c r="I282" s="41">
        <f t="shared" si="52"/>
        <v>0</v>
      </c>
      <c r="J282" s="165" t="str">
        <f t="shared" si="53"/>
        <v/>
      </c>
      <c r="K282" s="332"/>
      <c r="L282" s="44"/>
      <c r="M282" s="37"/>
      <c r="N282" s="37"/>
      <c r="O282" s="37"/>
      <c r="P282" s="37"/>
      <c r="Q282" s="37"/>
      <c r="R282" s="37"/>
      <c r="S282" s="37"/>
      <c r="T282" s="37"/>
      <c r="U282" s="37"/>
      <c r="V282" s="37"/>
      <c r="W282" s="37"/>
    </row>
    <row r="283" spans="1:23" ht="11.25" hidden="1" customHeight="1" x14ac:dyDescent="0.25">
      <c r="A283" s="36">
        <f>'Org structure'!E109</f>
        <v>0</v>
      </c>
      <c r="B283" s="368"/>
      <c r="C283" s="331"/>
      <c r="D283" s="328"/>
      <c r="E283" s="531"/>
      <c r="F283" s="378"/>
      <c r="G283" s="329"/>
      <c r="H283" s="378"/>
      <c r="I283" s="41">
        <f t="shared" si="52"/>
        <v>0</v>
      </c>
      <c r="J283" s="165" t="str">
        <f t="shared" si="53"/>
        <v/>
      </c>
      <c r="K283" s="332"/>
      <c r="L283" s="44"/>
      <c r="M283" s="37"/>
      <c r="N283" s="37"/>
      <c r="O283" s="37"/>
      <c r="P283" s="37"/>
      <c r="Q283" s="37"/>
      <c r="R283" s="37"/>
      <c r="S283" s="37"/>
      <c r="T283" s="37"/>
      <c r="U283" s="37"/>
      <c r="V283" s="37"/>
      <c r="W283" s="37"/>
    </row>
    <row r="284" spans="1:23" ht="11.25" hidden="1" customHeight="1" x14ac:dyDescent="0.25">
      <c r="A284" s="36">
        <f>'Org structure'!E110</f>
        <v>0</v>
      </c>
      <c r="B284" s="368"/>
      <c r="C284" s="331"/>
      <c r="D284" s="328"/>
      <c r="E284" s="531"/>
      <c r="F284" s="378"/>
      <c r="G284" s="329"/>
      <c r="H284" s="378"/>
      <c r="I284" s="41">
        <f t="shared" si="52"/>
        <v>0</v>
      </c>
      <c r="J284" s="165" t="str">
        <f t="shared" si="53"/>
        <v/>
      </c>
      <c r="K284" s="332"/>
      <c r="L284" s="44"/>
      <c r="M284" s="37"/>
      <c r="N284" s="37"/>
      <c r="O284" s="37"/>
      <c r="P284" s="37"/>
      <c r="Q284" s="37"/>
      <c r="R284" s="37"/>
      <c r="S284" s="37"/>
      <c r="T284" s="37"/>
      <c r="U284" s="37"/>
      <c r="V284" s="37"/>
      <c r="W284" s="37"/>
    </row>
    <row r="285" spans="1:23" ht="11.25" hidden="1" customHeight="1" x14ac:dyDescent="0.25">
      <c r="A285" s="36">
        <f>'Org structure'!E111</f>
        <v>0</v>
      </c>
      <c r="B285" s="368"/>
      <c r="C285" s="331"/>
      <c r="D285" s="328"/>
      <c r="E285" s="531"/>
      <c r="F285" s="378"/>
      <c r="G285" s="329"/>
      <c r="H285" s="378"/>
      <c r="I285" s="41">
        <f t="shared" si="52"/>
        <v>0</v>
      </c>
      <c r="J285" s="165" t="str">
        <f t="shared" si="53"/>
        <v/>
      </c>
      <c r="K285" s="332"/>
      <c r="L285" s="44"/>
      <c r="M285" s="37"/>
      <c r="N285" s="37"/>
      <c r="O285" s="37"/>
      <c r="P285" s="37"/>
      <c r="Q285" s="37"/>
      <c r="R285" s="37"/>
      <c r="S285" s="37"/>
      <c r="T285" s="37"/>
      <c r="U285" s="37"/>
      <c r="V285" s="37"/>
      <c r="W285" s="37"/>
    </row>
    <row r="286" spans="1:23" ht="11.25" hidden="1" customHeight="1" x14ac:dyDescent="0.25">
      <c r="A286" s="88" t="str">
        <f>'Org structure'!A12</f>
        <v>Vote 11 - [NAME OF VOTE 11]</v>
      </c>
      <c r="B286" s="368"/>
      <c r="C286" s="397">
        <f t="shared" ref="C286:K286" si="55">SUM(C287:C296)</f>
        <v>0</v>
      </c>
      <c r="D286" s="367">
        <f t="shared" si="55"/>
        <v>0</v>
      </c>
      <c r="E286" s="845">
        <f t="shared" si="55"/>
        <v>0</v>
      </c>
      <c r="F286" s="366">
        <f t="shared" si="55"/>
        <v>0</v>
      </c>
      <c r="G286" s="364">
        <f t="shared" si="55"/>
        <v>0</v>
      </c>
      <c r="H286" s="366">
        <f t="shared" si="55"/>
        <v>0</v>
      </c>
      <c r="I286" s="41">
        <f t="shared" si="52"/>
        <v>0</v>
      </c>
      <c r="J286" s="165" t="str">
        <f t="shared" si="53"/>
        <v/>
      </c>
      <c r="K286" s="365">
        <f t="shared" si="55"/>
        <v>0</v>
      </c>
      <c r="L286" s="44"/>
      <c r="M286" s="37"/>
      <c r="N286" s="37"/>
      <c r="O286" s="37"/>
      <c r="P286" s="37"/>
      <c r="Q286" s="37"/>
      <c r="R286" s="37"/>
      <c r="S286" s="37"/>
      <c r="T286" s="37"/>
      <c r="U286" s="37"/>
      <c r="V286" s="37"/>
      <c r="W286" s="37"/>
    </row>
    <row r="287" spans="1:23" ht="11.25" hidden="1" customHeight="1" x14ac:dyDescent="0.25">
      <c r="A287" s="36" t="str">
        <f>'Org structure'!E113</f>
        <v>11.1 - [Name of sub-vote]</v>
      </c>
      <c r="B287" s="368"/>
      <c r="C287" s="331"/>
      <c r="D287" s="328"/>
      <c r="E287" s="531"/>
      <c r="F287" s="378"/>
      <c r="G287" s="329"/>
      <c r="H287" s="378"/>
      <c r="I287" s="41">
        <f t="shared" si="52"/>
        <v>0</v>
      </c>
      <c r="J287" s="165" t="str">
        <f t="shared" si="53"/>
        <v/>
      </c>
      <c r="K287" s="332"/>
      <c r="L287" s="44"/>
      <c r="M287" s="37"/>
      <c r="N287" s="37"/>
      <c r="O287" s="37"/>
      <c r="P287" s="37"/>
      <c r="Q287" s="37"/>
      <c r="R287" s="37"/>
      <c r="S287" s="37"/>
      <c r="T287" s="37"/>
      <c r="U287" s="37"/>
      <c r="V287" s="37"/>
      <c r="W287" s="37"/>
    </row>
    <row r="288" spans="1:23" ht="11.25" hidden="1" customHeight="1" x14ac:dyDescent="0.25">
      <c r="A288" s="36">
        <f>'Org structure'!E114</f>
        <v>0</v>
      </c>
      <c r="B288" s="368"/>
      <c r="C288" s="331"/>
      <c r="D288" s="328"/>
      <c r="E288" s="531"/>
      <c r="F288" s="378"/>
      <c r="G288" s="329"/>
      <c r="H288" s="378"/>
      <c r="I288" s="41">
        <f t="shared" si="52"/>
        <v>0</v>
      </c>
      <c r="J288" s="165" t="str">
        <f t="shared" si="53"/>
        <v/>
      </c>
      <c r="K288" s="332"/>
      <c r="L288" s="44"/>
      <c r="M288" s="37"/>
      <c r="N288" s="37"/>
      <c r="O288" s="37"/>
      <c r="P288" s="37"/>
      <c r="Q288" s="37"/>
      <c r="R288" s="37"/>
      <c r="S288" s="37"/>
      <c r="T288" s="37"/>
      <c r="U288" s="37"/>
      <c r="V288" s="37"/>
      <c r="W288" s="37"/>
    </row>
    <row r="289" spans="1:23" ht="11.25" hidden="1" customHeight="1" x14ac:dyDescent="0.25">
      <c r="A289" s="36">
        <f>'Org structure'!E115</f>
        <v>0</v>
      </c>
      <c r="B289" s="368"/>
      <c r="C289" s="331"/>
      <c r="D289" s="328"/>
      <c r="E289" s="531"/>
      <c r="F289" s="378"/>
      <c r="G289" s="329"/>
      <c r="H289" s="378"/>
      <c r="I289" s="41">
        <f t="shared" si="52"/>
        <v>0</v>
      </c>
      <c r="J289" s="165" t="str">
        <f t="shared" si="53"/>
        <v/>
      </c>
      <c r="K289" s="332"/>
      <c r="L289" s="44"/>
      <c r="M289" s="37"/>
      <c r="N289" s="37"/>
      <c r="O289" s="37"/>
      <c r="P289" s="37"/>
      <c r="Q289" s="37"/>
      <c r="R289" s="37"/>
      <c r="S289" s="37"/>
      <c r="T289" s="37"/>
      <c r="U289" s="37"/>
      <c r="V289" s="37"/>
      <c r="W289" s="37"/>
    </row>
    <row r="290" spans="1:23" ht="11.25" hidden="1" customHeight="1" x14ac:dyDescent="0.25">
      <c r="A290" s="36">
        <f>'Org structure'!E116</f>
        <v>0</v>
      </c>
      <c r="B290" s="368"/>
      <c r="C290" s="331"/>
      <c r="D290" s="328"/>
      <c r="E290" s="531"/>
      <c r="F290" s="378"/>
      <c r="G290" s="329"/>
      <c r="H290" s="378"/>
      <c r="I290" s="41">
        <f t="shared" si="52"/>
        <v>0</v>
      </c>
      <c r="J290" s="165" t="str">
        <f t="shared" si="53"/>
        <v/>
      </c>
      <c r="K290" s="332"/>
      <c r="L290" s="44"/>
      <c r="M290" s="37"/>
      <c r="N290" s="37"/>
      <c r="O290" s="37"/>
      <c r="P290" s="37"/>
      <c r="Q290" s="37"/>
      <c r="R290" s="37"/>
      <c r="S290" s="37"/>
      <c r="T290" s="37"/>
      <c r="U290" s="37"/>
      <c r="V290" s="37"/>
      <c r="W290" s="37"/>
    </row>
    <row r="291" spans="1:23" ht="11.25" hidden="1" customHeight="1" x14ac:dyDescent="0.25">
      <c r="A291" s="36">
        <f>'Org structure'!E117</f>
        <v>0</v>
      </c>
      <c r="B291" s="368"/>
      <c r="C291" s="331"/>
      <c r="D291" s="328"/>
      <c r="E291" s="531"/>
      <c r="F291" s="378"/>
      <c r="G291" s="329"/>
      <c r="H291" s="378"/>
      <c r="I291" s="41">
        <f t="shared" si="52"/>
        <v>0</v>
      </c>
      <c r="J291" s="165" t="str">
        <f t="shared" si="53"/>
        <v/>
      </c>
      <c r="K291" s="332"/>
      <c r="L291" s="44"/>
      <c r="M291" s="37"/>
      <c r="N291" s="37"/>
      <c r="O291" s="37"/>
      <c r="P291" s="37"/>
      <c r="Q291" s="37"/>
      <c r="R291" s="37"/>
      <c r="S291" s="37"/>
      <c r="T291" s="37"/>
      <c r="U291" s="37"/>
      <c r="V291" s="37"/>
      <c r="W291" s="37"/>
    </row>
    <row r="292" spans="1:23" ht="11.25" hidden="1" customHeight="1" x14ac:dyDescent="0.25">
      <c r="A292" s="36">
        <f>'Org structure'!E118</f>
        <v>0</v>
      </c>
      <c r="B292" s="368"/>
      <c r="C292" s="331"/>
      <c r="D292" s="328"/>
      <c r="E292" s="531"/>
      <c r="F292" s="378"/>
      <c r="G292" s="329"/>
      <c r="H292" s="378"/>
      <c r="I292" s="41">
        <f t="shared" si="52"/>
        <v>0</v>
      </c>
      <c r="J292" s="165" t="str">
        <f t="shared" si="53"/>
        <v/>
      </c>
      <c r="K292" s="332"/>
      <c r="L292" s="44"/>
      <c r="M292" s="37"/>
      <c r="N292" s="37"/>
      <c r="O292" s="37"/>
      <c r="P292" s="37"/>
      <c r="Q292" s="37"/>
      <c r="R292" s="37"/>
      <c r="S292" s="37"/>
      <c r="T292" s="37"/>
      <c r="U292" s="37"/>
      <c r="V292" s="37"/>
      <c r="W292" s="37"/>
    </row>
    <row r="293" spans="1:23" ht="11.25" hidden="1" customHeight="1" x14ac:dyDescent="0.25">
      <c r="A293" s="36">
        <f>'Org structure'!E119</f>
        <v>0</v>
      </c>
      <c r="B293" s="368"/>
      <c r="C293" s="331"/>
      <c r="D293" s="328"/>
      <c r="E293" s="531"/>
      <c r="F293" s="378"/>
      <c r="G293" s="329"/>
      <c r="H293" s="378"/>
      <c r="I293" s="41">
        <f t="shared" si="52"/>
        <v>0</v>
      </c>
      <c r="J293" s="165" t="str">
        <f t="shared" si="53"/>
        <v/>
      </c>
      <c r="K293" s="332"/>
      <c r="L293" s="44"/>
      <c r="M293" s="37"/>
      <c r="N293" s="37"/>
      <c r="O293" s="37"/>
      <c r="P293" s="37"/>
      <c r="Q293" s="37"/>
      <c r="R293" s="37"/>
      <c r="S293" s="37"/>
      <c r="T293" s="37"/>
      <c r="U293" s="37"/>
      <c r="V293" s="37"/>
      <c r="W293" s="37"/>
    </row>
    <row r="294" spans="1:23" ht="11.25" hidden="1" customHeight="1" x14ac:dyDescent="0.25">
      <c r="A294" s="36">
        <f>'Org structure'!E120</f>
        <v>0</v>
      </c>
      <c r="B294" s="368"/>
      <c r="C294" s="331"/>
      <c r="D294" s="328"/>
      <c r="E294" s="531"/>
      <c r="F294" s="378"/>
      <c r="G294" s="329"/>
      <c r="H294" s="378"/>
      <c r="I294" s="41">
        <f t="shared" si="52"/>
        <v>0</v>
      </c>
      <c r="J294" s="165" t="str">
        <f t="shared" si="53"/>
        <v/>
      </c>
      <c r="K294" s="332"/>
      <c r="L294" s="44"/>
      <c r="M294" s="37"/>
      <c r="N294" s="37"/>
      <c r="O294" s="37"/>
      <c r="P294" s="37"/>
      <c r="Q294" s="37"/>
      <c r="R294" s="37"/>
      <c r="S294" s="37"/>
      <c r="T294" s="37"/>
      <c r="U294" s="37"/>
      <c r="V294" s="37"/>
      <c r="W294" s="37"/>
    </row>
    <row r="295" spans="1:23" ht="11.25" hidden="1" customHeight="1" x14ac:dyDescent="0.25">
      <c r="A295" s="36">
        <f>'Org structure'!E121</f>
        <v>0</v>
      </c>
      <c r="B295" s="368"/>
      <c r="C295" s="331"/>
      <c r="D295" s="328"/>
      <c r="E295" s="531"/>
      <c r="F295" s="378"/>
      <c r="G295" s="329"/>
      <c r="H295" s="378"/>
      <c r="I295" s="41">
        <f t="shared" si="52"/>
        <v>0</v>
      </c>
      <c r="J295" s="165" t="str">
        <f t="shared" si="53"/>
        <v/>
      </c>
      <c r="K295" s="332"/>
      <c r="L295" s="44"/>
      <c r="M295" s="37"/>
      <c r="N295" s="37"/>
      <c r="O295" s="37"/>
      <c r="P295" s="37"/>
      <c r="Q295" s="37"/>
      <c r="R295" s="37"/>
      <c r="S295" s="37"/>
      <c r="T295" s="37"/>
      <c r="U295" s="37"/>
      <c r="V295" s="37"/>
      <c r="W295" s="37"/>
    </row>
    <row r="296" spans="1:23" ht="11.25" hidden="1" customHeight="1" x14ac:dyDescent="0.25">
      <c r="A296" s="36">
        <f>'Org structure'!E122</f>
        <v>0</v>
      </c>
      <c r="B296" s="368"/>
      <c r="C296" s="331"/>
      <c r="D296" s="328"/>
      <c r="E296" s="531"/>
      <c r="F296" s="378"/>
      <c r="G296" s="329"/>
      <c r="H296" s="378"/>
      <c r="I296" s="41">
        <f t="shared" si="52"/>
        <v>0</v>
      </c>
      <c r="J296" s="165" t="str">
        <f t="shared" si="53"/>
        <v/>
      </c>
      <c r="K296" s="332"/>
      <c r="L296" s="44"/>
      <c r="M296" s="37"/>
      <c r="N296" s="37"/>
      <c r="O296" s="37"/>
      <c r="P296" s="37"/>
      <c r="Q296" s="37"/>
      <c r="R296" s="37"/>
      <c r="S296" s="37"/>
      <c r="T296" s="37"/>
      <c r="U296" s="37"/>
      <c r="V296" s="37"/>
      <c r="W296" s="37"/>
    </row>
    <row r="297" spans="1:23" ht="11.25" hidden="1" customHeight="1" x14ac:dyDescent="0.25">
      <c r="A297" s="88" t="str">
        <f>'Org structure'!A13</f>
        <v>Vote 12 - [NAME OF VOTE 12]</v>
      </c>
      <c r="B297" s="368"/>
      <c r="C297" s="397">
        <f t="shared" ref="C297:K297" si="56">SUM(C298:C307)</f>
        <v>0</v>
      </c>
      <c r="D297" s="367">
        <f t="shared" si="56"/>
        <v>0</v>
      </c>
      <c r="E297" s="845">
        <f t="shared" si="56"/>
        <v>0</v>
      </c>
      <c r="F297" s="366">
        <f t="shared" si="56"/>
        <v>0</v>
      </c>
      <c r="G297" s="364">
        <f t="shared" si="56"/>
        <v>0</v>
      </c>
      <c r="H297" s="366">
        <f t="shared" si="56"/>
        <v>0</v>
      </c>
      <c r="I297" s="41">
        <f t="shared" si="52"/>
        <v>0</v>
      </c>
      <c r="J297" s="165" t="str">
        <f t="shared" si="53"/>
        <v/>
      </c>
      <c r="K297" s="365">
        <f t="shared" si="56"/>
        <v>0</v>
      </c>
      <c r="L297" s="44"/>
      <c r="M297" s="37"/>
      <c r="N297" s="37"/>
      <c r="O297" s="37"/>
      <c r="P297" s="37"/>
      <c r="Q297" s="37"/>
      <c r="R297" s="37"/>
      <c r="S297" s="37"/>
      <c r="T297" s="37"/>
      <c r="U297" s="37"/>
      <c r="V297" s="37"/>
      <c r="W297" s="37"/>
    </row>
    <row r="298" spans="1:23" ht="11.25" hidden="1" customHeight="1" x14ac:dyDescent="0.25">
      <c r="A298" s="36" t="str">
        <f>'Org structure'!E124</f>
        <v>12.1 - [Name of sub-vote]</v>
      </c>
      <c r="B298" s="368"/>
      <c r="C298" s="331"/>
      <c r="D298" s="328"/>
      <c r="E298" s="531"/>
      <c r="F298" s="378"/>
      <c r="G298" s="329"/>
      <c r="H298" s="378"/>
      <c r="I298" s="41">
        <f t="shared" si="52"/>
        <v>0</v>
      </c>
      <c r="J298" s="165" t="str">
        <f t="shared" si="53"/>
        <v/>
      </c>
      <c r="K298" s="332"/>
      <c r="L298" s="44"/>
      <c r="M298" s="37"/>
      <c r="N298" s="37"/>
      <c r="O298" s="37"/>
      <c r="P298" s="37"/>
      <c r="Q298" s="37"/>
      <c r="R298" s="37"/>
      <c r="S298" s="37"/>
      <c r="T298" s="37"/>
      <c r="U298" s="37"/>
      <c r="V298" s="37"/>
      <c r="W298" s="37"/>
    </row>
    <row r="299" spans="1:23" ht="11.25" hidden="1" customHeight="1" x14ac:dyDescent="0.25">
      <c r="A299" s="36">
        <f>'Org structure'!E125</f>
        <v>0</v>
      </c>
      <c r="B299" s="368"/>
      <c r="C299" s="331"/>
      <c r="D299" s="328"/>
      <c r="E299" s="531"/>
      <c r="F299" s="378"/>
      <c r="G299" s="329"/>
      <c r="H299" s="378"/>
      <c r="I299" s="41">
        <f t="shared" si="52"/>
        <v>0</v>
      </c>
      <c r="J299" s="165" t="str">
        <f t="shared" si="53"/>
        <v/>
      </c>
      <c r="K299" s="332"/>
      <c r="L299" s="44"/>
      <c r="M299" s="37"/>
      <c r="N299" s="37"/>
      <c r="O299" s="37"/>
      <c r="P299" s="37"/>
      <c r="Q299" s="37"/>
      <c r="R299" s="37"/>
      <c r="S299" s="37"/>
      <c r="T299" s="37"/>
      <c r="U299" s="37"/>
      <c r="V299" s="37"/>
      <c r="W299" s="37"/>
    </row>
    <row r="300" spans="1:23" ht="11.25" hidden="1" customHeight="1" x14ac:dyDescent="0.25">
      <c r="A300" s="36">
        <f>'Org structure'!E126</f>
        <v>0</v>
      </c>
      <c r="B300" s="368"/>
      <c r="C300" s="331"/>
      <c r="D300" s="328"/>
      <c r="E300" s="531"/>
      <c r="F300" s="378"/>
      <c r="G300" s="329"/>
      <c r="H300" s="378"/>
      <c r="I300" s="41">
        <f t="shared" si="52"/>
        <v>0</v>
      </c>
      <c r="J300" s="165" t="str">
        <f t="shared" si="53"/>
        <v/>
      </c>
      <c r="K300" s="332"/>
      <c r="L300" s="44"/>
      <c r="M300" s="37"/>
      <c r="N300" s="37"/>
      <c r="O300" s="37"/>
      <c r="P300" s="37"/>
      <c r="Q300" s="37"/>
      <c r="R300" s="37"/>
      <c r="S300" s="37"/>
      <c r="T300" s="37"/>
      <c r="U300" s="37"/>
      <c r="V300" s="37"/>
      <c r="W300" s="37"/>
    </row>
    <row r="301" spans="1:23" ht="11.25" hidden="1" customHeight="1" x14ac:dyDescent="0.25">
      <c r="A301" s="36">
        <f>'Org structure'!E127</f>
        <v>0</v>
      </c>
      <c r="B301" s="368"/>
      <c r="C301" s="331"/>
      <c r="D301" s="328"/>
      <c r="E301" s="531"/>
      <c r="F301" s="378"/>
      <c r="G301" s="329"/>
      <c r="H301" s="378"/>
      <c r="I301" s="41">
        <f t="shared" si="52"/>
        <v>0</v>
      </c>
      <c r="J301" s="165" t="str">
        <f t="shared" si="53"/>
        <v/>
      </c>
      <c r="K301" s="332"/>
      <c r="L301" s="44"/>
      <c r="M301" s="37"/>
      <c r="N301" s="37"/>
      <c r="O301" s="37"/>
      <c r="P301" s="37"/>
      <c r="Q301" s="37"/>
      <c r="R301" s="37"/>
      <c r="S301" s="37"/>
      <c r="T301" s="37"/>
      <c r="U301" s="37"/>
      <c r="V301" s="37"/>
      <c r="W301" s="37"/>
    </row>
    <row r="302" spans="1:23" ht="11.25" hidden="1" customHeight="1" x14ac:dyDescent="0.25">
      <c r="A302" s="36">
        <f>'Org structure'!E128</f>
        <v>0</v>
      </c>
      <c r="B302" s="368"/>
      <c r="C302" s="331"/>
      <c r="D302" s="328"/>
      <c r="E302" s="531"/>
      <c r="F302" s="378"/>
      <c r="G302" s="329"/>
      <c r="H302" s="378"/>
      <c r="I302" s="41">
        <f t="shared" si="52"/>
        <v>0</v>
      </c>
      <c r="J302" s="165" t="str">
        <f t="shared" si="53"/>
        <v/>
      </c>
      <c r="K302" s="332"/>
      <c r="L302" s="44"/>
      <c r="M302" s="37"/>
      <c r="N302" s="37"/>
      <c r="O302" s="37"/>
      <c r="P302" s="37"/>
      <c r="Q302" s="37"/>
      <c r="R302" s="37"/>
      <c r="S302" s="37"/>
      <c r="T302" s="37"/>
      <c r="U302" s="37"/>
      <c r="V302" s="37"/>
      <c r="W302" s="37"/>
    </row>
    <row r="303" spans="1:23" ht="11.25" hidden="1" customHeight="1" x14ac:dyDescent="0.25">
      <c r="A303" s="36">
        <f>'Org structure'!E129</f>
        <v>0</v>
      </c>
      <c r="B303" s="368"/>
      <c r="C303" s="331"/>
      <c r="D303" s="328"/>
      <c r="E303" s="531"/>
      <c r="F303" s="378"/>
      <c r="G303" s="329"/>
      <c r="H303" s="378"/>
      <c r="I303" s="41">
        <f t="shared" si="52"/>
        <v>0</v>
      </c>
      <c r="J303" s="165" t="str">
        <f t="shared" si="53"/>
        <v/>
      </c>
      <c r="K303" s="332"/>
      <c r="L303" s="44"/>
      <c r="M303" s="37"/>
      <c r="N303" s="37"/>
      <c r="O303" s="37"/>
      <c r="P303" s="37"/>
      <c r="Q303" s="37"/>
      <c r="R303" s="37"/>
      <c r="S303" s="37"/>
      <c r="T303" s="37"/>
      <c r="U303" s="37"/>
      <c r="V303" s="37"/>
      <c r="W303" s="37"/>
    </row>
    <row r="304" spans="1:23" ht="11.25" hidden="1" customHeight="1" x14ac:dyDescent="0.25">
      <c r="A304" s="36">
        <f>'Org structure'!E130</f>
        <v>0</v>
      </c>
      <c r="B304" s="368"/>
      <c r="C304" s="331"/>
      <c r="D304" s="328"/>
      <c r="E304" s="531"/>
      <c r="F304" s="378"/>
      <c r="G304" s="329"/>
      <c r="H304" s="378"/>
      <c r="I304" s="41">
        <f t="shared" si="52"/>
        <v>0</v>
      </c>
      <c r="J304" s="165" t="str">
        <f t="shared" si="53"/>
        <v/>
      </c>
      <c r="K304" s="332"/>
      <c r="L304" s="44"/>
      <c r="M304" s="37"/>
      <c r="N304" s="37"/>
      <c r="O304" s="37"/>
      <c r="P304" s="37"/>
      <c r="Q304" s="37"/>
      <c r="R304" s="37"/>
      <c r="S304" s="37"/>
      <c r="T304" s="37"/>
      <c r="U304" s="37"/>
      <c r="V304" s="37"/>
      <c r="W304" s="37"/>
    </row>
    <row r="305" spans="1:23" ht="11.25" hidden="1" customHeight="1" x14ac:dyDescent="0.25">
      <c r="A305" s="36">
        <f>'Org structure'!E131</f>
        <v>0</v>
      </c>
      <c r="B305" s="368"/>
      <c r="C305" s="331"/>
      <c r="D305" s="328"/>
      <c r="E305" s="531"/>
      <c r="F305" s="378"/>
      <c r="G305" s="329"/>
      <c r="H305" s="378"/>
      <c r="I305" s="41">
        <f t="shared" si="52"/>
        <v>0</v>
      </c>
      <c r="J305" s="165" t="str">
        <f t="shared" si="53"/>
        <v/>
      </c>
      <c r="K305" s="332"/>
      <c r="L305" s="44"/>
      <c r="M305" s="37"/>
      <c r="N305" s="37"/>
      <c r="O305" s="37"/>
      <c r="P305" s="37"/>
      <c r="Q305" s="37"/>
      <c r="R305" s="37"/>
      <c r="S305" s="37"/>
      <c r="T305" s="37"/>
      <c r="U305" s="37"/>
      <c r="V305" s="37"/>
      <c r="W305" s="37"/>
    </row>
    <row r="306" spans="1:23" ht="11.25" hidden="1" customHeight="1" x14ac:dyDescent="0.25">
      <c r="A306" s="36">
        <f>'Org structure'!E132</f>
        <v>0</v>
      </c>
      <c r="B306" s="368"/>
      <c r="C306" s="331"/>
      <c r="D306" s="328"/>
      <c r="E306" s="531"/>
      <c r="F306" s="378"/>
      <c r="G306" s="329"/>
      <c r="H306" s="378"/>
      <c r="I306" s="41">
        <f t="shared" si="52"/>
        <v>0</v>
      </c>
      <c r="J306" s="165" t="str">
        <f t="shared" si="53"/>
        <v/>
      </c>
      <c r="K306" s="332"/>
      <c r="L306" s="44"/>
      <c r="M306" s="37"/>
      <c r="N306" s="37"/>
      <c r="O306" s="37"/>
      <c r="P306" s="37"/>
      <c r="Q306" s="37"/>
      <c r="R306" s="37"/>
      <c r="S306" s="37"/>
      <c r="T306" s="37"/>
      <c r="U306" s="37"/>
      <c r="V306" s="37"/>
      <c r="W306" s="37"/>
    </row>
    <row r="307" spans="1:23" ht="11.25" hidden="1" customHeight="1" x14ac:dyDescent="0.25">
      <c r="A307" s="36">
        <f>'Org structure'!E133</f>
        <v>0</v>
      </c>
      <c r="B307" s="368"/>
      <c r="C307" s="331"/>
      <c r="D307" s="328"/>
      <c r="E307" s="531"/>
      <c r="F307" s="378"/>
      <c r="G307" s="329"/>
      <c r="H307" s="378"/>
      <c r="I307" s="41">
        <f t="shared" si="52"/>
        <v>0</v>
      </c>
      <c r="J307" s="165" t="str">
        <f t="shared" si="53"/>
        <v/>
      </c>
      <c r="K307" s="332"/>
      <c r="L307" s="44"/>
      <c r="M307" s="37"/>
      <c r="N307" s="37"/>
      <c r="O307" s="37"/>
      <c r="P307" s="37"/>
      <c r="Q307" s="37"/>
      <c r="R307" s="37"/>
      <c r="S307" s="37"/>
      <c r="T307" s="37"/>
      <c r="U307" s="37"/>
      <c r="V307" s="37"/>
      <c r="W307" s="37"/>
    </row>
    <row r="308" spans="1:23" ht="11.25" hidden="1" customHeight="1" x14ac:dyDescent="0.25">
      <c r="A308" s="88" t="str">
        <f>'Org structure'!A14</f>
        <v>Vote 13 - [NAME OF VOTE 13]</v>
      </c>
      <c r="B308" s="368"/>
      <c r="C308" s="397">
        <f t="shared" ref="C308:K308" si="57">SUM(C309:C318)</f>
        <v>0</v>
      </c>
      <c r="D308" s="367">
        <f t="shared" si="57"/>
        <v>0</v>
      </c>
      <c r="E308" s="845">
        <f t="shared" si="57"/>
        <v>0</v>
      </c>
      <c r="F308" s="366">
        <f t="shared" si="57"/>
        <v>0</v>
      </c>
      <c r="G308" s="364">
        <f t="shared" si="57"/>
        <v>0</v>
      </c>
      <c r="H308" s="366">
        <f t="shared" si="57"/>
        <v>0</v>
      </c>
      <c r="I308" s="41">
        <f t="shared" si="52"/>
        <v>0</v>
      </c>
      <c r="J308" s="165" t="str">
        <f t="shared" si="53"/>
        <v/>
      </c>
      <c r="K308" s="365">
        <f t="shared" si="57"/>
        <v>0</v>
      </c>
      <c r="L308" s="44"/>
      <c r="M308" s="37"/>
      <c r="N308" s="37"/>
      <c r="O308" s="37"/>
      <c r="P308" s="37"/>
      <c r="Q308" s="37"/>
      <c r="R308" s="37"/>
      <c r="S308" s="37"/>
      <c r="T308" s="37"/>
      <c r="U308" s="37"/>
      <c r="V308" s="37"/>
      <c r="W308" s="37"/>
    </row>
    <row r="309" spans="1:23" ht="11.25" hidden="1" customHeight="1" x14ac:dyDescent="0.25">
      <c r="A309" s="36" t="str">
        <f>'Org structure'!E135</f>
        <v>13.1 - [Name of sub-vote]</v>
      </c>
      <c r="B309" s="368"/>
      <c r="C309" s="331"/>
      <c r="D309" s="328"/>
      <c r="E309" s="531"/>
      <c r="F309" s="378"/>
      <c r="G309" s="329"/>
      <c r="H309" s="378"/>
      <c r="I309" s="41">
        <f t="shared" si="52"/>
        <v>0</v>
      </c>
      <c r="J309" s="165" t="str">
        <f t="shared" si="53"/>
        <v/>
      </c>
      <c r="K309" s="332"/>
      <c r="L309" s="44"/>
      <c r="M309" s="37"/>
      <c r="N309" s="37"/>
      <c r="O309" s="37"/>
      <c r="P309" s="37"/>
      <c r="Q309" s="37"/>
      <c r="R309" s="37"/>
      <c r="S309" s="37"/>
      <c r="T309" s="37"/>
      <c r="U309" s="37"/>
      <c r="V309" s="37"/>
      <c r="W309" s="37"/>
    </row>
    <row r="310" spans="1:23" ht="11.25" hidden="1" customHeight="1" x14ac:dyDescent="0.25">
      <c r="A310" s="36">
        <f>'Org structure'!E136</f>
        <v>0</v>
      </c>
      <c r="B310" s="368"/>
      <c r="C310" s="331"/>
      <c r="D310" s="328"/>
      <c r="E310" s="531"/>
      <c r="F310" s="378"/>
      <c r="G310" s="329"/>
      <c r="H310" s="378"/>
      <c r="I310" s="41">
        <f t="shared" si="52"/>
        <v>0</v>
      </c>
      <c r="J310" s="165" t="str">
        <f t="shared" si="53"/>
        <v/>
      </c>
      <c r="K310" s="332"/>
      <c r="L310" s="44"/>
      <c r="M310" s="37"/>
      <c r="N310" s="37"/>
      <c r="O310" s="37"/>
      <c r="P310" s="37"/>
      <c r="Q310" s="37"/>
      <c r="R310" s="37"/>
      <c r="S310" s="37"/>
      <c r="T310" s="37"/>
      <c r="U310" s="37"/>
      <c r="V310" s="37"/>
      <c r="W310" s="37"/>
    </row>
    <row r="311" spans="1:23" ht="11.25" hidden="1" customHeight="1" x14ac:dyDescent="0.25">
      <c r="A311" s="36">
        <f>'Org structure'!E137</f>
        <v>0</v>
      </c>
      <c r="B311" s="368"/>
      <c r="C311" s="331"/>
      <c r="D311" s="328"/>
      <c r="E311" s="531"/>
      <c r="F311" s="378"/>
      <c r="G311" s="329"/>
      <c r="H311" s="378"/>
      <c r="I311" s="41">
        <f t="shared" si="52"/>
        <v>0</v>
      </c>
      <c r="J311" s="165" t="str">
        <f t="shared" si="53"/>
        <v/>
      </c>
      <c r="K311" s="332"/>
      <c r="L311" s="44"/>
      <c r="M311" s="37"/>
      <c r="N311" s="37"/>
      <c r="O311" s="37"/>
      <c r="P311" s="37"/>
      <c r="Q311" s="37"/>
      <c r="R311" s="37"/>
      <c r="S311" s="37"/>
      <c r="T311" s="37"/>
      <c r="U311" s="37"/>
      <c r="V311" s="37"/>
      <c r="W311" s="37"/>
    </row>
    <row r="312" spans="1:23" ht="11.25" hidden="1" customHeight="1" x14ac:dyDescent="0.25">
      <c r="A312" s="36">
        <f>'Org structure'!E138</f>
        <v>0</v>
      </c>
      <c r="B312" s="368"/>
      <c r="C312" s="331"/>
      <c r="D312" s="328"/>
      <c r="E312" s="531"/>
      <c r="F312" s="378"/>
      <c r="G312" s="329"/>
      <c r="H312" s="378"/>
      <c r="I312" s="41">
        <f t="shared" si="52"/>
        <v>0</v>
      </c>
      <c r="J312" s="165" t="str">
        <f t="shared" si="53"/>
        <v/>
      </c>
      <c r="K312" s="332"/>
      <c r="L312" s="44"/>
      <c r="M312" s="37"/>
      <c r="N312" s="37"/>
      <c r="O312" s="37"/>
      <c r="P312" s="37"/>
      <c r="Q312" s="37"/>
      <c r="R312" s="37"/>
      <c r="S312" s="37"/>
      <c r="T312" s="37"/>
      <c r="U312" s="37"/>
      <c r="V312" s="37"/>
      <c r="W312" s="37"/>
    </row>
    <row r="313" spans="1:23" ht="11.25" hidden="1" customHeight="1" x14ac:dyDescent="0.25">
      <c r="A313" s="36">
        <f>'Org structure'!E139</f>
        <v>0</v>
      </c>
      <c r="B313" s="368"/>
      <c r="C313" s="331"/>
      <c r="D313" s="328"/>
      <c r="E313" s="531"/>
      <c r="F313" s="378"/>
      <c r="G313" s="329"/>
      <c r="H313" s="378"/>
      <c r="I313" s="41">
        <f t="shared" si="52"/>
        <v>0</v>
      </c>
      <c r="J313" s="165" t="str">
        <f t="shared" si="53"/>
        <v/>
      </c>
      <c r="K313" s="332"/>
      <c r="L313" s="44"/>
      <c r="M313" s="37"/>
      <c r="N313" s="37"/>
      <c r="O313" s="37"/>
      <c r="P313" s="37"/>
      <c r="Q313" s="37"/>
      <c r="R313" s="37"/>
      <c r="S313" s="37"/>
      <c r="T313" s="37"/>
      <c r="U313" s="37"/>
      <c r="V313" s="37"/>
      <c r="W313" s="37"/>
    </row>
    <row r="314" spans="1:23" ht="11.25" hidden="1" customHeight="1" x14ac:dyDescent="0.25">
      <c r="A314" s="36">
        <f>'Org structure'!E140</f>
        <v>0</v>
      </c>
      <c r="B314" s="368"/>
      <c r="C314" s="331"/>
      <c r="D314" s="328"/>
      <c r="E314" s="531"/>
      <c r="F314" s="378"/>
      <c r="G314" s="329"/>
      <c r="H314" s="378"/>
      <c r="I314" s="41">
        <f t="shared" si="52"/>
        <v>0</v>
      </c>
      <c r="J314" s="165" t="str">
        <f t="shared" si="53"/>
        <v/>
      </c>
      <c r="K314" s="332"/>
      <c r="L314" s="44"/>
      <c r="M314" s="37"/>
      <c r="N314" s="37"/>
      <c r="O314" s="37"/>
      <c r="P314" s="37"/>
      <c r="Q314" s="37"/>
      <c r="R314" s="37"/>
      <c r="S314" s="37"/>
      <c r="T314" s="37"/>
      <c r="U314" s="37"/>
      <c r="V314" s="37"/>
      <c r="W314" s="37"/>
    </row>
    <row r="315" spans="1:23" ht="11.25" hidden="1" customHeight="1" x14ac:dyDescent="0.25">
      <c r="A315" s="36">
        <f>'Org structure'!E141</f>
        <v>0</v>
      </c>
      <c r="B315" s="368"/>
      <c r="C315" s="331"/>
      <c r="D315" s="328"/>
      <c r="E315" s="531"/>
      <c r="F315" s="378"/>
      <c r="G315" s="329"/>
      <c r="H315" s="378"/>
      <c r="I315" s="41">
        <f t="shared" si="52"/>
        <v>0</v>
      </c>
      <c r="J315" s="165" t="str">
        <f t="shared" si="53"/>
        <v/>
      </c>
      <c r="K315" s="332"/>
      <c r="L315" s="44"/>
      <c r="M315" s="37"/>
      <c r="N315" s="37"/>
      <c r="O315" s="37"/>
      <c r="P315" s="37"/>
      <c r="Q315" s="37"/>
      <c r="R315" s="37"/>
      <c r="S315" s="37"/>
      <c r="T315" s="37"/>
      <c r="U315" s="37"/>
      <c r="V315" s="37"/>
      <c r="W315" s="37"/>
    </row>
    <row r="316" spans="1:23" ht="11.25" hidden="1" customHeight="1" x14ac:dyDescent="0.25">
      <c r="A316" s="36">
        <f>'Org structure'!E142</f>
        <v>0</v>
      </c>
      <c r="B316" s="368"/>
      <c r="C316" s="331"/>
      <c r="D316" s="328"/>
      <c r="E316" s="531"/>
      <c r="F316" s="378"/>
      <c r="G316" s="329"/>
      <c r="H316" s="378"/>
      <c r="I316" s="41">
        <f t="shared" si="52"/>
        <v>0</v>
      </c>
      <c r="J316" s="165" t="str">
        <f t="shared" si="53"/>
        <v/>
      </c>
      <c r="K316" s="332"/>
      <c r="L316" s="44"/>
      <c r="M316" s="37"/>
      <c r="N316" s="37"/>
      <c r="O316" s="37"/>
      <c r="P316" s="37"/>
      <c r="Q316" s="37"/>
      <c r="R316" s="37"/>
      <c r="S316" s="37"/>
      <c r="T316" s="37"/>
      <c r="U316" s="37"/>
      <c r="V316" s="37"/>
      <c r="W316" s="37"/>
    </row>
    <row r="317" spans="1:23" ht="11.25" hidden="1" customHeight="1" x14ac:dyDescent="0.25">
      <c r="A317" s="36">
        <f>'Org structure'!E143</f>
        <v>0</v>
      </c>
      <c r="B317" s="368"/>
      <c r="C317" s="331"/>
      <c r="D317" s="328"/>
      <c r="E317" s="531"/>
      <c r="F317" s="378"/>
      <c r="G317" s="329"/>
      <c r="H317" s="378"/>
      <c r="I317" s="41">
        <f t="shared" si="52"/>
        <v>0</v>
      </c>
      <c r="J317" s="165" t="str">
        <f t="shared" si="53"/>
        <v/>
      </c>
      <c r="K317" s="332"/>
      <c r="L317" s="44"/>
      <c r="M317" s="37"/>
      <c r="N317" s="37"/>
      <c r="O317" s="37"/>
      <c r="P317" s="37"/>
      <c r="Q317" s="37"/>
      <c r="R317" s="37"/>
      <c r="S317" s="37"/>
      <c r="T317" s="37"/>
      <c r="U317" s="37"/>
      <c r="V317" s="37"/>
      <c r="W317" s="37"/>
    </row>
    <row r="318" spans="1:23" ht="11.25" hidden="1" customHeight="1" x14ac:dyDescent="0.25">
      <c r="A318" s="36">
        <f>'Org structure'!E144</f>
        <v>0</v>
      </c>
      <c r="B318" s="368"/>
      <c r="C318" s="331"/>
      <c r="D318" s="328"/>
      <c r="E318" s="531"/>
      <c r="F318" s="378"/>
      <c r="G318" s="329"/>
      <c r="H318" s="378"/>
      <c r="I318" s="41">
        <f t="shared" si="52"/>
        <v>0</v>
      </c>
      <c r="J318" s="165" t="str">
        <f t="shared" si="53"/>
        <v/>
      </c>
      <c r="K318" s="332"/>
      <c r="L318" s="44"/>
      <c r="M318" s="37"/>
      <c r="N318" s="37"/>
      <c r="O318" s="37"/>
      <c r="P318" s="37"/>
      <c r="Q318" s="37"/>
      <c r="R318" s="37"/>
      <c r="S318" s="37"/>
      <c r="T318" s="37"/>
      <c r="U318" s="37"/>
      <c r="V318" s="37"/>
      <c r="W318" s="37"/>
    </row>
    <row r="319" spans="1:23" ht="11.25" hidden="1" customHeight="1" x14ac:dyDescent="0.25">
      <c r="A319" s="88" t="str">
        <f>'Org structure'!A15</f>
        <v>Vote 14 - [NAME OF VOTE 14]</v>
      </c>
      <c r="B319" s="368"/>
      <c r="C319" s="397">
        <f t="shared" ref="C319:K319" si="58">SUM(C320:C329)</f>
        <v>0</v>
      </c>
      <c r="D319" s="367">
        <f t="shared" si="58"/>
        <v>0</v>
      </c>
      <c r="E319" s="845">
        <f t="shared" si="58"/>
        <v>0</v>
      </c>
      <c r="F319" s="366">
        <f t="shared" si="58"/>
        <v>0</v>
      </c>
      <c r="G319" s="364">
        <f t="shared" si="58"/>
        <v>0</v>
      </c>
      <c r="H319" s="366">
        <f t="shared" si="58"/>
        <v>0</v>
      </c>
      <c r="I319" s="41">
        <f t="shared" si="52"/>
        <v>0</v>
      </c>
      <c r="J319" s="165" t="str">
        <f t="shared" si="53"/>
        <v/>
      </c>
      <c r="K319" s="365">
        <f t="shared" si="58"/>
        <v>0</v>
      </c>
      <c r="L319" s="44"/>
      <c r="M319" s="37"/>
      <c r="N319" s="37"/>
      <c r="O319" s="37"/>
      <c r="P319" s="37"/>
      <c r="Q319" s="37"/>
      <c r="R319" s="37"/>
      <c r="S319" s="37"/>
      <c r="T319" s="37"/>
      <c r="U319" s="37"/>
      <c r="V319" s="37"/>
      <c r="W319" s="37"/>
    </row>
    <row r="320" spans="1:23" ht="11.25" hidden="1" customHeight="1" x14ac:dyDescent="0.25">
      <c r="A320" s="36" t="str">
        <f>'Org structure'!E146</f>
        <v>14.1 - [Name of sub-vote]</v>
      </c>
      <c r="B320" s="368"/>
      <c r="C320" s="331"/>
      <c r="D320" s="328"/>
      <c r="E320" s="531"/>
      <c r="F320" s="378"/>
      <c r="G320" s="329"/>
      <c r="H320" s="378"/>
      <c r="I320" s="41">
        <f t="shared" si="52"/>
        <v>0</v>
      </c>
      <c r="J320" s="165" t="str">
        <f t="shared" si="53"/>
        <v/>
      </c>
      <c r="K320" s="332"/>
      <c r="L320" s="44"/>
      <c r="M320" s="37"/>
      <c r="N320" s="37"/>
      <c r="O320" s="37"/>
      <c r="P320" s="37"/>
      <c r="Q320" s="37"/>
      <c r="R320" s="37"/>
      <c r="S320" s="37"/>
      <c r="T320" s="37"/>
      <c r="U320" s="37"/>
      <c r="V320" s="37"/>
      <c r="W320" s="37"/>
    </row>
    <row r="321" spans="1:23" ht="11.25" hidden="1" customHeight="1" x14ac:dyDescent="0.25">
      <c r="A321" s="36">
        <f>'Org structure'!E147</f>
        <v>0</v>
      </c>
      <c r="B321" s="368"/>
      <c r="C321" s="331"/>
      <c r="D321" s="328"/>
      <c r="E321" s="531"/>
      <c r="F321" s="378"/>
      <c r="G321" s="329"/>
      <c r="H321" s="378"/>
      <c r="I321" s="41">
        <f t="shared" si="52"/>
        <v>0</v>
      </c>
      <c r="J321" s="165" t="str">
        <f t="shared" si="53"/>
        <v/>
      </c>
      <c r="K321" s="332"/>
      <c r="L321" s="44"/>
      <c r="M321" s="37"/>
      <c r="N321" s="37"/>
      <c r="O321" s="37"/>
      <c r="P321" s="37"/>
      <c r="Q321" s="37"/>
      <c r="R321" s="37"/>
      <c r="S321" s="37"/>
      <c r="T321" s="37"/>
      <c r="U321" s="37"/>
      <c r="V321" s="37"/>
      <c r="W321" s="37"/>
    </row>
    <row r="322" spans="1:23" ht="11.25" hidden="1" customHeight="1" x14ac:dyDescent="0.25">
      <c r="A322" s="36">
        <f>'Org structure'!E148</f>
        <v>0</v>
      </c>
      <c r="B322" s="368"/>
      <c r="C322" s="331"/>
      <c r="D322" s="328"/>
      <c r="E322" s="531"/>
      <c r="F322" s="378"/>
      <c r="G322" s="329"/>
      <c r="H322" s="378"/>
      <c r="I322" s="41">
        <f t="shared" si="52"/>
        <v>0</v>
      </c>
      <c r="J322" s="165" t="str">
        <f t="shared" si="53"/>
        <v/>
      </c>
      <c r="K322" s="332"/>
      <c r="L322" s="44"/>
      <c r="M322" s="37"/>
      <c r="N322" s="37"/>
      <c r="O322" s="37"/>
      <c r="P322" s="37"/>
      <c r="Q322" s="37"/>
      <c r="R322" s="37"/>
      <c r="S322" s="37"/>
      <c r="T322" s="37"/>
      <c r="U322" s="37"/>
      <c r="V322" s="37"/>
      <c r="W322" s="37"/>
    </row>
    <row r="323" spans="1:23" ht="11.25" hidden="1" customHeight="1" x14ac:dyDescent="0.25">
      <c r="A323" s="36">
        <f>'Org structure'!E149</f>
        <v>0</v>
      </c>
      <c r="B323" s="368"/>
      <c r="C323" s="331"/>
      <c r="D323" s="328"/>
      <c r="E323" s="531"/>
      <c r="F323" s="378"/>
      <c r="G323" s="329"/>
      <c r="H323" s="378"/>
      <c r="I323" s="41">
        <f t="shared" si="52"/>
        <v>0</v>
      </c>
      <c r="J323" s="165" t="str">
        <f t="shared" si="53"/>
        <v/>
      </c>
      <c r="K323" s="332"/>
      <c r="L323" s="44"/>
      <c r="M323" s="37"/>
      <c r="N323" s="37"/>
      <c r="O323" s="37"/>
      <c r="P323" s="37"/>
      <c r="Q323" s="37"/>
      <c r="R323" s="37"/>
      <c r="S323" s="37"/>
      <c r="T323" s="37"/>
      <c r="U323" s="37"/>
      <c r="V323" s="37"/>
      <c r="W323" s="37"/>
    </row>
    <row r="324" spans="1:23" ht="11.25" hidden="1" customHeight="1" x14ac:dyDescent="0.25">
      <c r="A324" s="36">
        <f>'Org structure'!E150</f>
        <v>0</v>
      </c>
      <c r="B324" s="368"/>
      <c r="C324" s="331"/>
      <c r="D324" s="328"/>
      <c r="E324" s="531"/>
      <c r="F324" s="378"/>
      <c r="G324" s="329"/>
      <c r="H324" s="378"/>
      <c r="I324" s="41">
        <f t="shared" si="52"/>
        <v>0</v>
      </c>
      <c r="J324" s="165" t="str">
        <f t="shared" si="53"/>
        <v/>
      </c>
      <c r="K324" s="332"/>
      <c r="L324" s="44"/>
      <c r="M324" s="37"/>
      <c r="N324" s="37"/>
      <c r="O324" s="37"/>
      <c r="P324" s="37"/>
      <c r="Q324" s="37"/>
      <c r="R324" s="37"/>
      <c r="S324" s="37"/>
      <c r="T324" s="37"/>
      <c r="U324" s="37"/>
      <c r="V324" s="37"/>
      <c r="W324" s="37"/>
    </row>
    <row r="325" spans="1:23" ht="11.25" hidden="1" customHeight="1" x14ac:dyDescent="0.25">
      <c r="A325" s="36">
        <f>'Org structure'!E151</f>
        <v>0</v>
      </c>
      <c r="B325" s="368"/>
      <c r="C325" s="331"/>
      <c r="D325" s="328"/>
      <c r="E325" s="531"/>
      <c r="F325" s="378"/>
      <c r="G325" s="329"/>
      <c r="H325" s="378"/>
      <c r="I325" s="41">
        <f t="shared" si="52"/>
        <v>0</v>
      </c>
      <c r="J325" s="165" t="str">
        <f t="shared" si="53"/>
        <v/>
      </c>
      <c r="K325" s="332"/>
      <c r="L325" s="44"/>
      <c r="M325" s="37"/>
      <c r="N325" s="37"/>
      <c r="O325" s="37"/>
      <c r="P325" s="37"/>
      <c r="Q325" s="37"/>
      <c r="R325" s="37"/>
      <c r="S325" s="37"/>
      <c r="T325" s="37"/>
      <c r="U325" s="37"/>
      <c r="V325" s="37"/>
      <c r="W325" s="37"/>
    </row>
    <row r="326" spans="1:23" ht="11.25" hidden="1" customHeight="1" x14ac:dyDescent="0.25">
      <c r="A326" s="36">
        <f>'Org structure'!E152</f>
        <v>0</v>
      </c>
      <c r="B326" s="368"/>
      <c r="C326" s="331"/>
      <c r="D326" s="328"/>
      <c r="E326" s="531"/>
      <c r="F326" s="378"/>
      <c r="G326" s="329"/>
      <c r="H326" s="378"/>
      <c r="I326" s="41">
        <f t="shared" si="52"/>
        <v>0</v>
      </c>
      <c r="J326" s="165" t="str">
        <f t="shared" si="53"/>
        <v/>
      </c>
      <c r="K326" s="332"/>
      <c r="L326" s="44"/>
      <c r="M326" s="37"/>
      <c r="N326" s="37"/>
      <c r="O326" s="37"/>
      <c r="P326" s="37"/>
      <c r="Q326" s="37"/>
      <c r="R326" s="37"/>
      <c r="S326" s="37"/>
      <c r="T326" s="37"/>
      <c r="U326" s="37"/>
      <c r="V326" s="37"/>
      <c r="W326" s="37"/>
    </row>
    <row r="327" spans="1:23" ht="11.25" hidden="1" customHeight="1" x14ac:dyDescent="0.25">
      <c r="A327" s="36">
        <f>'Org structure'!E153</f>
        <v>0</v>
      </c>
      <c r="B327" s="368"/>
      <c r="C327" s="331"/>
      <c r="D327" s="328"/>
      <c r="E327" s="531"/>
      <c r="F327" s="378"/>
      <c r="G327" s="329"/>
      <c r="H327" s="378"/>
      <c r="I327" s="41">
        <f t="shared" si="52"/>
        <v>0</v>
      </c>
      <c r="J327" s="165" t="str">
        <f t="shared" si="53"/>
        <v/>
      </c>
      <c r="K327" s="332"/>
      <c r="L327" s="44"/>
      <c r="M327" s="37"/>
      <c r="N327" s="37"/>
      <c r="O327" s="37"/>
      <c r="P327" s="37"/>
      <c r="Q327" s="37"/>
      <c r="R327" s="37"/>
      <c r="S327" s="37"/>
      <c r="T327" s="37"/>
      <c r="U327" s="37"/>
      <c r="V327" s="37"/>
      <c r="W327" s="37"/>
    </row>
    <row r="328" spans="1:23" ht="11.25" hidden="1" customHeight="1" x14ac:dyDescent="0.25">
      <c r="A328" s="36">
        <f>'Org structure'!E154</f>
        <v>0</v>
      </c>
      <c r="B328" s="368"/>
      <c r="C328" s="331"/>
      <c r="D328" s="328"/>
      <c r="E328" s="531"/>
      <c r="F328" s="378"/>
      <c r="G328" s="329"/>
      <c r="H328" s="378"/>
      <c r="I328" s="41">
        <f t="shared" ref="I328:I343" si="59">G328-H328</f>
        <v>0</v>
      </c>
      <c r="J328" s="165" t="str">
        <f t="shared" ref="J328:J343" si="60">IF(I328=0,"",I328/H328)</f>
        <v/>
      </c>
      <c r="K328" s="332"/>
      <c r="L328" s="44"/>
      <c r="M328" s="37"/>
      <c r="N328" s="37"/>
      <c r="O328" s="37"/>
      <c r="P328" s="37"/>
      <c r="Q328" s="37"/>
      <c r="R328" s="37"/>
      <c r="S328" s="37"/>
      <c r="T328" s="37"/>
      <c r="U328" s="37"/>
      <c r="V328" s="37"/>
      <c r="W328" s="37"/>
    </row>
    <row r="329" spans="1:23" ht="11.25" hidden="1" customHeight="1" x14ac:dyDescent="0.25">
      <c r="A329" s="36">
        <f>'Org structure'!E155</f>
        <v>0</v>
      </c>
      <c r="B329" s="368"/>
      <c r="C329" s="331"/>
      <c r="D329" s="328"/>
      <c r="E329" s="531"/>
      <c r="F329" s="378"/>
      <c r="G329" s="329"/>
      <c r="H329" s="378"/>
      <c r="I329" s="41">
        <f t="shared" si="59"/>
        <v>0</v>
      </c>
      <c r="J329" s="165" t="str">
        <f t="shared" si="60"/>
        <v/>
      </c>
      <c r="K329" s="332"/>
      <c r="L329" s="44"/>
      <c r="M329" s="37"/>
      <c r="N329" s="37"/>
      <c r="O329" s="37"/>
      <c r="P329" s="37"/>
      <c r="Q329" s="37"/>
      <c r="R329" s="37"/>
      <c r="S329" s="37"/>
      <c r="T329" s="37"/>
      <c r="U329" s="37"/>
      <c r="V329" s="37"/>
      <c r="W329" s="37"/>
    </row>
    <row r="330" spans="1:23" ht="11.25" hidden="1" customHeight="1" x14ac:dyDescent="0.25">
      <c r="A330" s="88" t="str">
        <f>'Org structure'!A16</f>
        <v>Vote 15 - [NAME OF VOTE 15]</v>
      </c>
      <c r="B330" s="368"/>
      <c r="C330" s="397">
        <f t="shared" ref="C330:K330" si="61">SUM(C331:C340)</f>
        <v>0</v>
      </c>
      <c r="D330" s="367">
        <f t="shared" si="61"/>
        <v>0</v>
      </c>
      <c r="E330" s="845">
        <f t="shared" si="61"/>
        <v>0</v>
      </c>
      <c r="F330" s="366">
        <f t="shared" si="61"/>
        <v>0</v>
      </c>
      <c r="G330" s="364">
        <f t="shared" si="61"/>
        <v>0</v>
      </c>
      <c r="H330" s="366">
        <f t="shared" si="61"/>
        <v>0</v>
      </c>
      <c r="I330" s="41">
        <f t="shared" si="59"/>
        <v>0</v>
      </c>
      <c r="J330" s="165" t="str">
        <f t="shared" si="60"/>
        <v/>
      </c>
      <c r="K330" s="365">
        <f t="shared" si="61"/>
        <v>0</v>
      </c>
      <c r="L330" s="44"/>
      <c r="M330" s="37"/>
      <c r="N330" s="37"/>
      <c r="O330" s="37"/>
      <c r="P330" s="37"/>
      <c r="Q330" s="37"/>
      <c r="R330" s="37"/>
      <c r="S330" s="37"/>
      <c r="T330" s="37"/>
      <c r="U330" s="37"/>
      <c r="V330" s="37"/>
      <c r="W330" s="37"/>
    </row>
    <row r="331" spans="1:23" ht="11.25" hidden="1" customHeight="1" x14ac:dyDescent="0.25">
      <c r="A331" s="36" t="str">
        <f>'Org structure'!E157</f>
        <v>15.1 - [Name of sub-vote]</v>
      </c>
      <c r="B331" s="368"/>
      <c r="C331" s="331"/>
      <c r="D331" s="328"/>
      <c r="E331" s="531"/>
      <c r="F331" s="378"/>
      <c r="G331" s="329"/>
      <c r="H331" s="378"/>
      <c r="I331" s="41">
        <f t="shared" si="59"/>
        <v>0</v>
      </c>
      <c r="J331" s="165" t="str">
        <f t="shared" si="60"/>
        <v/>
      </c>
      <c r="K331" s="332"/>
      <c r="L331" s="44"/>
      <c r="M331" s="37"/>
      <c r="N331" s="37"/>
      <c r="O331" s="37"/>
      <c r="P331" s="37"/>
      <c r="Q331" s="37"/>
      <c r="R331" s="37"/>
      <c r="S331" s="37"/>
      <c r="T331" s="37"/>
      <c r="U331" s="37"/>
      <c r="V331" s="37"/>
      <c r="W331" s="37"/>
    </row>
    <row r="332" spans="1:23" ht="11.25" hidden="1" customHeight="1" x14ac:dyDescent="0.25">
      <c r="A332" s="36">
        <f>'Org structure'!E158</f>
        <v>0</v>
      </c>
      <c r="B332" s="368"/>
      <c r="C332" s="331"/>
      <c r="D332" s="328"/>
      <c r="E332" s="531"/>
      <c r="F332" s="378"/>
      <c r="G332" s="329"/>
      <c r="H332" s="378"/>
      <c r="I332" s="41">
        <f t="shared" si="59"/>
        <v>0</v>
      </c>
      <c r="J332" s="165" t="str">
        <f t="shared" si="60"/>
        <v/>
      </c>
      <c r="K332" s="332"/>
      <c r="L332" s="44"/>
      <c r="M332" s="37"/>
      <c r="N332" s="37"/>
      <c r="O332" s="37"/>
      <c r="P332" s="37"/>
      <c r="Q332" s="37"/>
      <c r="R332" s="37"/>
      <c r="S332" s="37"/>
      <c r="T332" s="37"/>
      <c r="U332" s="37"/>
      <c r="V332" s="37"/>
      <c r="W332" s="37"/>
    </row>
    <row r="333" spans="1:23" ht="11.25" hidden="1" customHeight="1" x14ac:dyDescent="0.25">
      <c r="A333" s="36">
        <f>'Org structure'!E159</f>
        <v>0</v>
      </c>
      <c r="B333" s="368"/>
      <c r="C333" s="331"/>
      <c r="D333" s="328"/>
      <c r="E333" s="531"/>
      <c r="F333" s="378"/>
      <c r="G333" s="329"/>
      <c r="H333" s="378"/>
      <c r="I333" s="41">
        <f t="shared" si="59"/>
        <v>0</v>
      </c>
      <c r="J333" s="165" t="str">
        <f t="shared" si="60"/>
        <v/>
      </c>
      <c r="K333" s="332"/>
      <c r="L333" s="44"/>
      <c r="M333" s="37"/>
      <c r="N333" s="37"/>
      <c r="O333" s="37"/>
      <c r="P333" s="37"/>
      <c r="Q333" s="37"/>
      <c r="R333" s="37"/>
      <c r="S333" s="37"/>
      <c r="T333" s="37"/>
      <c r="U333" s="37"/>
      <c r="V333" s="37"/>
      <c r="W333" s="37"/>
    </row>
    <row r="334" spans="1:23" ht="11.25" hidden="1" customHeight="1" x14ac:dyDescent="0.25">
      <c r="A334" s="36">
        <f>'Org structure'!E160</f>
        <v>0</v>
      </c>
      <c r="B334" s="368"/>
      <c r="C334" s="331"/>
      <c r="D334" s="328"/>
      <c r="E334" s="531"/>
      <c r="F334" s="378"/>
      <c r="G334" s="329"/>
      <c r="H334" s="378"/>
      <c r="I334" s="41">
        <f t="shared" si="59"/>
        <v>0</v>
      </c>
      <c r="J334" s="165" t="str">
        <f t="shared" si="60"/>
        <v/>
      </c>
      <c r="K334" s="332"/>
      <c r="L334" s="44"/>
      <c r="M334" s="37"/>
      <c r="N334" s="37"/>
      <c r="O334" s="37"/>
      <c r="P334" s="37"/>
      <c r="Q334" s="37"/>
      <c r="R334" s="37"/>
      <c r="S334" s="37"/>
      <c r="T334" s="37"/>
      <c r="U334" s="37"/>
      <c r="V334" s="37"/>
      <c r="W334" s="37"/>
    </row>
    <row r="335" spans="1:23" ht="11.25" hidden="1" customHeight="1" x14ac:dyDescent="0.25">
      <c r="A335" s="36">
        <f>'Org structure'!E161</f>
        <v>0</v>
      </c>
      <c r="B335" s="368"/>
      <c r="C335" s="331"/>
      <c r="D335" s="328"/>
      <c r="E335" s="531"/>
      <c r="F335" s="378"/>
      <c r="G335" s="329"/>
      <c r="H335" s="378"/>
      <c r="I335" s="41">
        <f t="shared" si="59"/>
        <v>0</v>
      </c>
      <c r="J335" s="165" t="str">
        <f t="shared" si="60"/>
        <v/>
      </c>
      <c r="K335" s="332"/>
      <c r="L335" s="44"/>
      <c r="M335" s="37"/>
      <c r="N335" s="37"/>
      <c r="O335" s="37"/>
      <c r="P335" s="37"/>
      <c r="Q335" s="37"/>
      <c r="R335" s="37"/>
      <c r="S335" s="37"/>
      <c r="T335" s="37"/>
      <c r="U335" s="37"/>
      <c r="V335" s="37"/>
      <c r="W335" s="37"/>
    </row>
    <row r="336" spans="1:23" ht="11.25" hidden="1" customHeight="1" x14ac:dyDescent="0.25">
      <c r="A336" s="36">
        <f>'Org structure'!E162</f>
        <v>0</v>
      </c>
      <c r="B336" s="368"/>
      <c r="C336" s="331"/>
      <c r="D336" s="328"/>
      <c r="E336" s="531"/>
      <c r="F336" s="378"/>
      <c r="G336" s="329"/>
      <c r="H336" s="378"/>
      <c r="I336" s="41">
        <f t="shared" si="59"/>
        <v>0</v>
      </c>
      <c r="J336" s="165" t="str">
        <f t="shared" si="60"/>
        <v/>
      </c>
      <c r="K336" s="332"/>
      <c r="L336" s="44"/>
      <c r="M336" s="37"/>
      <c r="N336" s="37"/>
      <c r="O336" s="37"/>
      <c r="P336" s="37"/>
      <c r="Q336" s="37"/>
      <c r="R336" s="37"/>
      <c r="S336" s="37"/>
      <c r="T336" s="37"/>
      <c r="U336" s="37"/>
      <c r="V336" s="37"/>
      <c r="W336" s="37"/>
    </row>
    <row r="337" spans="1:25" ht="11.25" hidden="1" customHeight="1" x14ac:dyDescent="0.25">
      <c r="A337" s="36">
        <f>'Org structure'!E163</f>
        <v>0</v>
      </c>
      <c r="B337" s="368"/>
      <c r="C337" s="331"/>
      <c r="D337" s="328"/>
      <c r="E337" s="531"/>
      <c r="F337" s="378"/>
      <c r="G337" s="329"/>
      <c r="H337" s="378"/>
      <c r="I337" s="41">
        <f t="shared" si="59"/>
        <v>0</v>
      </c>
      <c r="J337" s="165" t="str">
        <f t="shared" si="60"/>
        <v/>
      </c>
      <c r="K337" s="332"/>
      <c r="L337" s="44"/>
      <c r="M337" s="37"/>
      <c r="N337" s="37"/>
      <c r="O337" s="37"/>
      <c r="P337" s="37"/>
      <c r="Q337" s="37"/>
      <c r="R337" s="37"/>
      <c r="S337" s="37"/>
      <c r="T337" s="37"/>
      <c r="U337" s="37"/>
      <c r="V337" s="37"/>
      <c r="W337" s="37"/>
    </row>
    <row r="338" spans="1:25" ht="11.25" hidden="1" customHeight="1" x14ac:dyDescent="0.25">
      <c r="A338" s="36">
        <f>'Org structure'!E164</f>
        <v>0</v>
      </c>
      <c r="B338" s="368"/>
      <c r="C338" s="331"/>
      <c r="D338" s="328"/>
      <c r="E338" s="531"/>
      <c r="F338" s="378"/>
      <c r="G338" s="329"/>
      <c r="H338" s="378"/>
      <c r="I338" s="41">
        <f t="shared" si="59"/>
        <v>0</v>
      </c>
      <c r="J338" s="165" t="str">
        <f t="shared" si="60"/>
        <v/>
      </c>
      <c r="K338" s="332"/>
      <c r="L338" s="44"/>
      <c r="M338" s="37"/>
      <c r="N338" s="37"/>
      <c r="O338" s="37"/>
      <c r="P338" s="37"/>
      <c r="Q338" s="37"/>
      <c r="R338" s="37"/>
      <c r="S338" s="37"/>
      <c r="T338" s="37"/>
      <c r="U338" s="37"/>
      <c r="V338" s="37"/>
      <c r="W338" s="37"/>
    </row>
    <row r="339" spans="1:25" ht="11.25" hidden="1" customHeight="1" x14ac:dyDescent="0.25">
      <c r="A339" s="36">
        <f>'Org structure'!E165</f>
        <v>0</v>
      </c>
      <c r="B339" s="368"/>
      <c r="C339" s="331"/>
      <c r="D339" s="328"/>
      <c r="E339" s="531"/>
      <c r="F339" s="378"/>
      <c r="G339" s="329"/>
      <c r="H339" s="378"/>
      <c r="I339" s="41">
        <f t="shared" si="59"/>
        <v>0</v>
      </c>
      <c r="J339" s="165" t="str">
        <f t="shared" si="60"/>
        <v/>
      </c>
      <c r="K339" s="332"/>
      <c r="L339" s="44"/>
      <c r="M339" s="37"/>
      <c r="N339" s="37"/>
      <c r="O339" s="37"/>
      <c r="P339" s="37"/>
      <c r="Q339" s="37"/>
      <c r="R339" s="37"/>
      <c r="S339" s="37"/>
      <c r="T339" s="37"/>
      <c r="U339" s="37"/>
      <c r="V339" s="37"/>
      <c r="W339" s="37"/>
    </row>
    <row r="340" spans="1:25" ht="11.25" hidden="1" customHeight="1" x14ac:dyDescent="0.25">
      <c r="A340" s="36">
        <f>'Org structure'!E166</f>
        <v>0</v>
      </c>
      <c r="B340" s="368"/>
      <c r="C340" s="331"/>
      <c r="D340" s="328"/>
      <c r="E340" s="531"/>
      <c r="F340" s="378"/>
      <c r="G340" s="329"/>
      <c r="H340" s="378"/>
      <c r="I340" s="41">
        <f t="shared" si="59"/>
        <v>0</v>
      </c>
      <c r="J340" s="165" t="str">
        <f t="shared" si="60"/>
        <v/>
      </c>
      <c r="K340" s="332"/>
      <c r="L340" s="373">
        <f t="shared" ref="L340:W340" si="62">SUM(L175:L251)</f>
        <v>0</v>
      </c>
      <c r="M340" s="374">
        <f t="shared" si="62"/>
        <v>0</v>
      </c>
      <c r="N340" s="374">
        <f t="shared" si="62"/>
        <v>0</v>
      </c>
      <c r="O340" s="374">
        <f t="shared" si="62"/>
        <v>0</v>
      </c>
      <c r="P340" s="374">
        <f t="shared" si="62"/>
        <v>0</v>
      </c>
      <c r="Q340" s="374">
        <f t="shared" si="62"/>
        <v>0</v>
      </c>
      <c r="R340" s="374">
        <f t="shared" si="62"/>
        <v>0</v>
      </c>
      <c r="S340" s="374">
        <f t="shared" si="62"/>
        <v>0</v>
      </c>
      <c r="T340" s="374">
        <f t="shared" si="62"/>
        <v>0</v>
      </c>
      <c r="U340" s="374">
        <f t="shared" si="62"/>
        <v>0</v>
      </c>
      <c r="V340" s="374">
        <f t="shared" si="62"/>
        <v>0</v>
      </c>
      <c r="W340" s="374">
        <f t="shared" si="62"/>
        <v>0</v>
      </c>
    </row>
    <row r="341" spans="1:25" ht="12.75" customHeight="1" x14ac:dyDescent="0.25">
      <c r="A341" s="437" t="s">
        <v>809</v>
      </c>
      <c r="B341" s="496"/>
      <c r="C341" s="400">
        <f>C176+C187+C198+C209+C220+C231+C242+C253+C264+C286+C297+C308+C319+C330+C275</f>
        <v>201022307.78999999</v>
      </c>
      <c r="D341" s="380">
        <f t="shared" ref="D341:K341" si="63">D176+D187+D198+D209+D220+D231+D242+D253+D264+D286+D297+D308+D319+D330+D275</f>
        <v>54497184</v>
      </c>
      <c r="E341" s="424">
        <f t="shared" si="63"/>
        <v>73677729.219999999</v>
      </c>
      <c r="F341" s="379">
        <f t="shared" si="63"/>
        <v>636405.88000000012</v>
      </c>
      <c r="G341" s="356">
        <f t="shared" si="63"/>
        <v>25112118.020000003</v>
      </c>
      <c r="H341" s="379">
        <f t="shared" si="63"/>
        <v>73677729.219999999</v>
      </c>
      <c r="I341" s="356">
        <f t="shared" si="59"/>
        <v>-48565611.199999996</v>
      </c>
      <c r="J341" s="897">
        <f t="shared" si="60"/>
        <v>-0.65916270376607566</v>
      </c>
      <c r="K341" s="403">
        <f t="shared" si="63"/>
        <v>73677729.219999999</v>
      </c>
      <c r="L341" s="381"/>
      <c r="M341" s="48"/>
      <c r="N341" s="48"/>
      <c r="O341" s="48"/>
      <c r="P341" s="48"/>
      <c r="Q341" s="48"/>
      <c r="R341" s="48"/>
      <c r="S341" s="48"/>
      <c r="T341" s="48"/>
      <c r="U341" s="48"/>
      <c r="V341" s="48"/>
      <c r="W341" s="48"/>
    </row>
    <row r="342" spans="1:25" ht="4.5" customHeight="1" thickBot="1" x14ac:dyDescent="0.3">
      <c r="A342" s="39"/>
      <c r="B342" s="368"/>
      <c r="C342" s="92"/>
      <c r="D342" s="47"/>
      <c r="E342" s="222"/>
      <c r="F342" s="45"/>
      <c r="G342" s="46"/>
      <c r="H342" s="45"/>
      <c r="I342" s="46">
        <f t="shared" si="59"/>
        <v>0</v>
      </c>
      <c r="J342" s="898" t="str">
        <f t="shared" si="60"/>
        <v/>
      </c>
      <c r="K342" s="159"/>
      <c r="L342" s="384">
        <f t="shared" ref="L342:W342" si="64">L171-L340</f>
        <v>0</v>
      </c>
      <c r="M342" s="385">
        <f t="shared" si="64"/>
        <v>0</v>
      </c>
      <c r="N342" s="385">
        <f t="shared" si="64"/>
        <v>0</v>
      </c>
      <c r="O342" s="385">
        <f t="shared" si="64"/>
        <v>0</v>
      </c>
      <c r="P342" s="385">
        <f t="shared" si="64"/>
        <v>0</v>
      </c>
      <c r="Q342" s="385">
        <f t="shared" si="64"/>
        <v>0</v>
      </c>
      <c r="R342" s="385">
        <f t="shared" si="64"/>
        <v>0</v>
      </c>
      <c r="S342" s="385">
        <f t="shared" si="64"/>
        <v>0</v>
      </c>
      <c r="T342" s="385">
        <f t="shared" si="64"/>
        <v>0</v>
      </c>
      <c r="U342" s="385">
        <f t="shared" si="64"/>
        <v>0</v>
      </c>
      <c r="V342" s="385">
        <f t="shared" si="64"/>
        <v>0</v>
      </c>
      <c r="W342" s="385">
        <f t="shared" si="64"/>
        <v>0</v>
      </c>
    </row>
    <row r="343" spans="1:25" s="389" customFormat="1" ht="13.5" customHeight="1" thickTop="1" x14ac:dyDescent="0.25">
      <c r="A343" s="49" t="s">
        <v>772</v>
      </c>
      <c r="B343" s="382"/>
      <c r="C343" s="75">
        <f>C172+C341</f>
        <v>201022307.78999999</v>
      </c>
      <c r="D343" s="52">
        <f t="shared" ref="D343:K343" si="65">D172+D341</f>
        <v>226517177</v>
      </c>
      <c r="E343" s="230">
        <f t="shared" si="65"/>
        <v>272453658.22000003</v>
      </c>
      <c r="F343" s="383">
        <f t="shared" si="65"/>
        <v>28743525.049999997</v>
      </c>
      <c r="G343" s="51">
        <f t="shared" si="65"/>
        <v>232896014.37000003</v>
      </c>
      <c r="H343" s="383">
        <f t="shared" si="65"/>
        <v>272453658.22000003</v>
      </c>
      <c r="I343" s="51">
        <f t="shared" si="59"/>
        <v>-39557643.849999994</v>
      </c>
      <c r="J343" s="619">
        <f t="shared" si="60"/>
        <v>-0.14519035680577322</v>
      </c>
      <c r="K343" s="198">
        <f t="shared" si="65"/>
        <v>272453658.22000003</v>
      </c>
      <c r="Y343" s="910"/>
    </row>
    <row r="344" spans="1:25" s="389" customFormat="1" ht="11.25" customHeight="1" x14ac:dyDescent="0.25">
      <c r="A344" s="680" t="str">
        <f>head27a</f>
        <v>References</v>
      </c>
      <c r="B344" s="386"/>
      <c r="C344" s="387"/>
      <c r="D344" s="388"/>
      <c r="E344" s="388"/>
      <c r="F344" s="388"/>
      <c r="G344" s="388"/>
      <c r="H344" s="388"/>
      <c r="I344" s="388"/>
      <c r="J344" s="388"/>
      <c r="K344" s="700"/>
    </row>
    <row r="345" spans="1:25" s="389" customFormat="1" ht="11.25" customHeight="1" x14ac:dyDescent="0.25">
      <c r="A345" s="709" t="s">
        <v>124</v>
      </c>
      <c r="B345" s="710"/>
      <c r="C345" s="711"/>
      <c r="D345" s="711"/>
      <c r="E345" s="712"/>
      <c r="F345" s="712"/>
      <c r="G345" s="712"/>
      <c r="H345" s="712"/>
      <c r="I345" s="712"/>
      <c r="J345" s="712"/>
      <c r="K345" s="713"/>
    </row>
  </sheetData>
  <mergeCells count="3">
    <mergeCell ref="D2:K2"/>
    <mergeCell ref="L2:W2"/>
    <mergeCell ref="A1:K1"/>
  </mergeCells>
  <phoneticPr fontId="3" type="noConversion"/>
  <printOptions horizontalCentered="1"/>
  <pageMargins left="0.19685039370078741" right="0.19685039370078741" top="0.39370078740157483" bottom="0.39370078740157483" header="0.51181102362204722" footer="0.51181102362204722"/>
  <pageSetup paperSize="9" scale="86" fitToHeight="0" orientation="portrait" r:id="rId1"/>
  <headerFooter alignWithMargins="0"/>
  <rowBreaks count="1" manualBreakCount="1">
    <brk id="173" max="16383" man="1"/>
  </rowBreaks>
  <ignoredErrors>
    <ignoredError sqref="K8:K238 H8:H69 H73:H238" unlockedFormula="1"/>
    <ignoredError sqref="J231:J343 J221" evalError="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4">
    <tabColor indexed="44"/>
    <pageSetUpPr fitToPage="1"/>
  </sheetPr>
  <dimension ref="A1:G54"/>
  <sheetViews>
    <sheetView showGridLines="0" view="pageBreakPreview" zoomScaleNormal="100" zoomScaleSheetLayoutView="100" workbookViewId="0">
      <pane ySplit="4" topLeftCell="A26" activePane="bottomLeft" state="frozen"/>
      <selection pane="bottomLeft" activeCell="I16" sqref="I16"/>
    </sheetView>
  </sheetViews>
  <sheetFormatPr defaultColWidth="9.140625" defaultRowHeight="12.75" x14ac:dyDescent="0.25"/>
  <cols>
    <col min="1" max="1" width="40.42578125" style="22" customWidth="1"/>
    <col min="2" max="2" width="3.140625" style="54" customWidth="1"/>
    <col min="3" max="7" width="10.7109375" style="22" customWidth="1"/>
    <col min="8" max="10" width="9.5703125" style="22" customWidth="1"/>
    <col min="11" max="12" width="9.85546875" style="22" customWidth="1"/>
    <col min="13" max="16384" width="9.140625" style="22"/>
  </cols>
  <sheetData>
    <row r="1" spans="1:7" x14ac:dyDescent="0.25">
      <c r="A1" s="1002" t="str">
        <f>muni&amp; " - "&amp;S71E&amp; " - "&amp;date</f>
        <v>WC025 Breede Valley - Table C6 Monthly Budget Statement - Financial Position - Q4 Fourth Quarter</v>
      </c>
      <c r="B1" s="1002"/>
      <c r="C1" s="1002"/>
      <c r="D1" s="1002"/>
      <c r="E1" s="1002"/>
      <c r="F1" s="1002"/>
      <c r="G1" s="1002"/>
    </row>
    <row r="2" spans="1:7" x14ac:dyDescent="0.25">
      <c r="A2" s="980" t="str">
        <f>desc</f>
        <v>Description</v>
      </c>
      <c r="B2" s="980" t="str">
        <f>head27</f>
        <v>Ref</v>
      </c>
      <c r="C2" s="899" t="str">
        <f>Head1</f>
        <v>2017/18</v>
      </c>
      <c r="D2" s="208" t="str">
        <f>Head2</f>
        <v>Budget Year 2018/19</v>
      </c>
      <c r="E2" s="192"/>
      <c r="F2" s="192"/>
      <c r="G2" s="193"/>
    </row>
    <row r="3" spans="1:7" ht="25.5" x14ac:dyDescent="0.25">
      <c r="A3" s="981"/>
      <c r="B3" s="981"/>
      <c r="C3" s="899" t="str">
        <f>Head5</f>
        <v>Audited Outcome</v>
      </c>
      <c r="D3" s="164" t="str">
        <f>Head6</f>
        <v>Original Budget</v>
      </c>
      <c r="E3" s="116" t="str">
        <f>Head7</f>
        <v>Adjusted Budget</v>
      </c>
      <c r="F3" s="116" t="str">
        <f>Head39</f>
        <v>YearTD actual</v>
      </c>
      <c r="G3" s="137" t="str">
        <f>Head8</f>
        <v>Full Year Forecast</v>
      </c>
    </row>
    <row r="4" spans="1:7" x14ac:dyDescent="0.25">
      <c r="A4" s="31" t="s">
        <v>678</v>
      </c>
      <c r="B4" s="861">
        <v>1</v>
      </c>
      <c r="C4" s="857"/>
      <c r="D4" s="157"/>
      <c r="E4" s="138"/>
      <c r="F4" s="394"/>
      <c r="G4" s="858"/>
    </row>
    <row r="5" spans="1:7" ht="11.25" customHeight="1" x14ac:dyDescent="0.25">
      <c r="A5" s="149" t="s">
        <v>553</v>
      </c>
      <c r="B5" s="856"/>
      <c r="C5" s="35"/>
      <c r="D5" s="200"/>
      <c r="E5" s="201"/>
      <c r="F5" s="201"/>
      <c r="G5" s="202"/>
    </row>
    <row r="6" spans="1:7" ht="11.25" customHeight="1" x14ac:dyDescent="0.25">
      <c r="A6" s="77" t="s">
        <v>554</v>
      </c>
      <c r="B6" s="141"/>
      <c r="C6" s="37"/>
      <c r="D6" s="87"/>
      <c r="E6" s="86"/>
      <c r="F6" s="86"/>
      <c r="G6" s="228"/>
    </row>
    <row r="7" spans="1:7" ht="12.75" customHeight="1" x14ac:dyDescent="0.25">
      <c r="A7" s="36" t="s">
        <v>795</v>
      </c>
      <c r="B7" s="141"/>
      <c r="C7" s="526">
        <v>84955387</v>
      </c>
      <c r="D7" s="328">
        <v>78336986.359999999</v>
      </c>
      <c r="E7" s="329">
        <v>78336986.359999999</v>
      </c>
      <c r="F7" s="329">
        <v>83507716</v>
      </c>
      <c r="G7" s="517">
        <v>78336986.359999999</v>
      </c>
    </row>
    <row r="8" spans="1:7" ht="12.75" customHeight="1" x14ac:dyDescent="0.25">
      <c r="A8" s="36" t="s">
        <v>602</v>
      </c>
      <c r="B8" s="141"/>
      <c r="C8" s="526">
        <v>45000000</v>
      </c>
      <c r="D8" s="853">
        <v>50000000</v>
      </c>
      <c r="E8" s="329">
        <v>50000000</v>
      </c>
      <c r="F8" s="329">
        <v>15000000</v>
      </c>
      <c r="G8" s="517">
        <v>50000000</v>
      </c>
    </row>
    <row r="9" spans="1:7" ht="12.75" customHeight="1" x14ac:dyDescent="0.25">
      <c r="A9" s="36" t="s">
        <v>600</v>
      </c>
      <c r="B9" s="141"/>
      <c r="C9" s="526">
        <v>89036556</v>
      </c>
      <c r="D9" s="853">
        <v>71380754.019805267</v>
      </c>
      <c r="E9" s="329">
        <v>71380754.019805267</v>
      </c>
      <c r="F9" s="329">
        <v>95347584</v>
      </c>
      <c r="G9" s="517">
        <v>71380754.019805267</v>
      </c>
    </row>
    <row r="10" spans="1:7" ht="12.75" customHeight="1" x14ac:dyDescent="0.25">
      <c r="A10" s="36" t="s">
        <v>601</v>
      </c>
      <c r="B10" s="141"/>
      <c r="C10" s="526">
        <v>24497341</v>
      </c>
      <c r="D10" s="328">
        <v>29926322.413648412</v>
      </c>
      <c r="E10" s="329">
        <v>29926322.413648412</v>
      </c>
      <c r="F10" s="329">
        <v>94267813</v>
      </c>
      <c r="G10" s="517">
        <v>29926322.413648412</v>
      </c>
    </row>
    <row r="11" spans="1:7" ht="12.75" customHeight="1" x14ac:dyDescent="0.25">
      <c r="A11" s="36" t="s">
        <v>796</v>
      </c>
      <c r="B11" s="141"/>
      <c r="C11" s="526">
        <v>1549212</v>
      </c>
      <c r="D11" s="900">
        <v>1105361.259760312</v>
      </c>
      <c r="E11" s="534">
        <v>1105361.259760312</v>
      </c>
      <c r="F11" s="329">
        <v>551437</v>
      </c>
      <c r="G11" s="532">
        <v>1105361.259760312</v>
      </c>
    </row>
    <row r="12" spans="1:7" ht="12.75" customHeight="1" x14ac:dyDescent="0.25">
      <c r="A12" s="36" t="s">
        <v>599</v>
      </c>
      <c r="B12" s="141"/>
      <c r="C12" s="527">
        <v>18488941</v>
      </c>
      <c r="D12" s="528">
        <v>20127377.422992446</v>
      </c>
      <c r="E12" s="529">
        <v>20127377.422992446</v>
      </c>
      <c r="F12" s="529">
        <v>21311972</v>
      </c>
      <c r="G12" s="517">
        <v>20127377.422992446</v>
      </c>
    </row>
    <row r="13" spans="1:7" ht="12.75" customHeight="1" x14ac:dyDescent="0.25">
      <c r="A13" s="81" t="s">
        <v>643</v>
      </c>
      <c r="B13" s="854"/>
      <c r="C13" s="206">
        <f>SUM(C7:C12)</f>
        <v>263527437</v>
      </c>
      <c r="D13" s="66">
        <f>SUM(D7:D12)</f>
        <v>250876801.47620645</v>
      </c>
      <c r="E13" s="65">
        <f>SUM(E7:E12)</f>
        <v>250876801.47620645</v>
      </c>
      <c r="F13" s="65">
        <f>SUM(F7:F12)</f>
        <v>309986522</v>
      </c>
      <c r="G13" s="120">
        <f>SUM(G7:G12)</f>
        <v>250876801.47620645</v>
      </c>
    </row>
    <row r="14" spans="1:7" ht="5.0999999999999996" customHeight="1" x14ac:dyDescent="0.25">
      <c r="A14" s="39"/>
      <c r="B14" s="141"/>
      <c r="C14" s="449"/>
      <c r="D14" s="43"/>
      <c r="E14" s="41"/>
      <c r="F14" s="41"/>
      <c r="G14" s="119"/>
    </row>
    <row r="15" spans="1:7" ht="12.75" customHeight="1" x14ac:dyDescent="0.25">
      <c r="A15" s="77" t="s">
        <v>461</v>
      </c>
      <c r="B15" s="141"/>
      <c r="C15" s="111"/>
      <c r="D15" s="43"/>
      <c r="E15" s="41"/>
      <c r="F15" s="41"/>
      <c r="G15" s="119"/>
    </row>
    <row r="16" spans="1:7" ht="12.75" customHeight="1" x14ac:dyDescent="0.25">
      <c r="A16" s="36" t="s">
        <v>598</v>
      </c>
      <c r="B16" s="141"/>
      <c r="C16" s="526">
        <v>5405709</v>
      </c>
      <c r="D16" s="328">
        <v>6263713.805308436</v>
      </c>
      <c r="E16" s="329">
        <v>6263713.805308436</v>
      </c>
      <c r="F16" s="329">
        <v>4312831</v>
      </c>
      <c r="G16" s="517">
        <v>6263713.805308436</v>
      </c>
    </row>
    <row r="17" spans="1:7" ht="12.75" customHeight="1" x14ac:dyDescent="0.25">
      <c r="A17" s="36" t="s">
        <v>555</v>
      </c>
      <c r="B17" s="141"/>
      <c r="C17" s="526">
        <v>0</v>
      </c>
      <c r="D17" s="900">
        <v>0</v>
      </c>
      <c r="E17" s="534">
        <v>0</v>
      </c>
      <c r="F17" s="329">
        <v>0</v>
      </c>
      <c r="G17" s="532">
        <v>0</v>
      </c>
    </row>
    <row r="18" spans="1:7" ht="12.75" customHeight="1" x14ac:dyDescent="0.25">
      <c r="A18" s="36" t="s">
        <v>597</v>
      </c>
      <c r="B18" s="141"/>
      <c r="C18" s="526">
        <v>21018000</v>
      </c>
      <c r="D18" s="328">
        <v>22395362.3463539</v>
      </c>
      <c r="E18" s="329">
        <v>22395362.3463539</v>
      </c>
      <c r="F18" s="329">
        <v>21018000</v>
      </c>
      <c r="G18" s="517">
        <v>22395362.3463539</v>
      </c>
    </row>
    <row r="19" spans="1:7" ht="12.75" customHeight="1" x14ac:dyDescent="0.25">
      <c r="A19" s="36" t="s">
        <v>283</v>
      </c>
      <c r="B19" s="141"/>
      <c r="C19" s="526">
        <v>0</v>
      </c>
      <c r="D19" s="328">
        <v>0</v>
      </c>
      <c r="E19" s="329">
        <v>0</v>
      </c>
      <c r="F19" s="329">
        <v>0</v>
      </c>
      <c r="G19" s="517">
        <v>0</v>
      </c>
    </row>
    <row r="20" spans="1:7" ht="12.75" customHeight="1" x14ac:dyDescent="0.25">
      <c r="A20" s="36" t="s">
        <v>596</v>
      </c>
      <c r="B20" s="141"/>
      <c r="C20" s="526">
        <v>1984640446</v>
      </c>
      <c r="D20" s="853">
        <v>2297101437.2474308</v>
      </c>
      <c r="E20" s="329">
        <v>2297101437.2474308</v>
      </c>
      <c r="F20" s="329">
        <v>2129076476</v>
      </c>
      <c r="G20" s="517">
        <v>2297101437.2474308</v>
      </c>
    </row>
    <row r="21" spans="1:7" ht="12.75" customHeight="1" x14ac:dyDescent="0.25">
      <c r="A21" s="36" t="s">
        <v>725</v>
      </c>
      <c r="B21" s="141"/>
      <c r="C21" s="526">
        <v>0</v>
      </c>
      <c r="D21" s="328">
        <v>0</v>
      </c>
      <c r="E21" s="329">
        <v>0</v>
      </c>
      <c r="F21" s="329">
        <v>0</v>
      </c>
      <c r="G21" s="517">
        <v>0</v>
      </c>
    </row>
    <row r="22" spans="1:7" ht="12.75" customHeight="1" x14ac:dyDescent="0.25">
      <c r="A22" s="36" t="s">
        <v>1365</v>
      </c>
      <c r="B22" s="141"/>
      <c r="C22" s="526">
        <v>0</v>
      </c>
      <c r="D22" s="328">
        <v>0</v>
      </c>
      <c r="E22" s="329">
        <v>0</v>
      </c>
      <c r="F22" s="329">
        <v>0</v>
      </c>
      <c r="G22" s="517">
        <v>0</v>
      </c>
    </row>
    <row r="23" spans="1:7" ht="12.75" customHeight="1" x14ac:dyDescent="0.25">
      <c r="A23" s="36" t="s">
        <v>1366</v>
      </c>
      <c r="B23" s="141"/>
      <c r="C23" s="526">
        <v>4876540</v>
      </c>
      <c r="D23" s="328">
        <v>5785473.3092338862</v>
      </c>
      <c r="E23" s="329">
        <v>5785473.3092338862</v>
      </c>
      <c r="F23" s="329">
        <v>6407464</v>
      </c>
      <c r="G23" s="517">
        <v>5785473.3092338862</v>
      </c>
    </row>
    <row r="24" spans="1:7" ht="12.75" customHeight="1" x14ac:dyDescent="0.25">
      <c r="A24" s="36" t="s">
        <v>805</v>
      </c>
      <c r="B24" s="141"/>
      <c r="C24" s="527">
        <v>36631059</v>
      </c>
      <c r="D24" s="901"/>
      <c r="E24" s="855"/>
      <c r="F24" s="529">
        <v>36631059</v>
      </c>
      <c r="G24" s="902"/>
    </row>
    <row r="25" spans="1:7" ht="12.75" customHeight="1" x14ac:dyDescent="0.25">
      <c r="A25" s="81" t="s">
        <v>642</v>
      </c>
      <c r="B25" s="854"/>
      <c r="C25" s="206">
        <f>SUM(C16:C24)</f>
        <v>2052571754</v>
      </c>
      <c r="D25" s="66">
        <f>SUM(D16:D24)</f>
        <v>2331545986.7083268</v>
      </c>
      <c r="E25" s="65">
        <f>SUM(E16:E24)</f>
        <v>2331545986.7083268</v>
      </c>
      <c r="F25" s="65">
        <f>SUM(F16:F24)</f>
        <v>2197445830</v>
      </c>
      <c r="G25" s="120">
        <f>SUM(G16:G24)</f>
        <v>2331545986.7083268</v>
      </c>
    </row>
    <row r="26" spans="1:7" ht="12.75" customHeight="1" x14ac:dyDescent="0.25">
      <c r="A26" s="81" t="s">
        <v>788</v>
      </c>
      <c r="B26" s="854"/>
      <c r="C26" s="206">
        <f>C13+C25</f>
        <v>2316099191</v>
      </c>
      <c r="D26" s="66">
        <f>D13+D25</f>
        <v>2582422788.1845331</v>
      </c>
      <c r="E26" s="65">
        <f>E13+E25</f>
        <v>2582422788.1845331</v>
      </c>
      <c r="F26" s="65">
        <f>F13+F25</f>
        <v>2507432352</v>
      </c>
      <c r="G26" s="120">
        <f>G13+G25</f>
        <v>2582422788.1845331</v>
      </c>
    </row>
    <row r="27" spans="1:7" ht="5.0999999999999996" customHeight="1" x14ac:dyDescent="0.25">
      <c r="A27" s="39"/>
      <c r="B27" s="141"/>
      <c r="C27" s="111"/>
      <c r="D27" s="43"/>
      <c r="E27" s="41"/>
      <c r="F27" s="41"/>
      <c r="G27" s="119"/>
    </row>
    <row r="28" spans="1:7" ht="12.75" customHeight="1" x14ac:dyDescent="0.25">
      <c r="A28" s="32" t="s">
        <v>462</v>
      </c>
      <c r="B28" s="141"/>
      <c r="C28" s="111"/>
      <c r="D28" s="43"/>
      <c r="E28" s="41"/>
      <c r="F28" s="41"/>
      <c r="G28" s="119"/>
    </row>
    <row r="29" spans="1:7" ht="12.75" customHeight="1" x14ac:dyDescent="0.25">
      <c r="A29" s="77" t="s">
        <v>556</v>
      </c>
      <c r="B29" s="860"/>
      <c r="C29" s="111"/>
      <c r="D29" s="43"/>
      <c r="E29" s="41"/>
      <c r="F29" s="41"/>
      <c r="G29" s="119"/>
    </row>
    <row r="30" spans="1:7" ht="12.75" customHeight="1" x14ac:dyDescent="0.25">
      <c r="A30" s="36" t="s">
        <v>757</v>
      </c>
      <c r="B30" s="141"/>
      <c r="C30" s="526">
        <v>0</v>
      </c>
      <c r="D30" s="328">
        <v>0</v>
      </c>
      <c r="E30" s="329">
        <v>0</v>
      </c>
      <c r="F30" s="329"/>
      <c r="G30" s="517">
        <v>0</v>
      </c>
    </row>
    <row r="31" spans="1:7" ht="12.75" customHeight="1" x14ac:dyDescent="0.25">
      <c r="A31" s="36" t="s">
        <v>789</v>
      </c>
      <c r="B31" s="141"/>
      <c r="C31" s="526">
        <v>9427059</v>
      </c>
      <c r="D31" s="853">
        <v>10409903.559999999</v>
      </c>
      <c r="E31" s="329">
        <v>10409903.559999999</v>
      </c>
      <c r="F31" s="329">
        <v>10409904</v>
      </c>
      <c r="G31" s="517">
        <v>10409903.559999999</v>
      </c>
    </row>
    <row r="32" spans="1:7" ht="12.75" customHeight="1" x14ac:dyDescent="0.25">
      <c r="A32" s="36" t="s">
        <v>595</v>
      </c>
      <c r="B32" s="141"/>
      <c r="C32" s="526">
        <v>3912159</v>
      </c>
      <c r="D32" s="903">
        <v>4889170.2149153687</v>
      </c>
      <c r="E32" s="329">
        <v>4889170.2149153687</v>
      </c>
      <c r="F32" s="329">
        <v>4083339</v>
      </c>
      <c r="G32" s="517">
        <v>4889170.2149153687</v>
      </c>
    </row>
    <row r="33" spans="1:7" ht="12.75" customHeight="1" x14ac:dyDescent="0.25">
      <c r="A33" s="36" t="s">
        <v>797</v>
      </c>
      <c r="B33" s="141"/>
      <c r="C33" s="526">
        <v>105269250</v>
      </c>
      <c r="D33" s="853">
        <v>64785549.167149991</v>
      </c>
      <c r="E33" s="329">
        <v>64785549.167149991</v>
      </c>
      <c r="F33" s="329">
        <v>130357516</v>
      </c>
      <c r="G33" s="517">
        <v>64785549.167149991</v>
      </c>
    </row>
    <row r="34" spans="1:7" ht="12.75" customHeight="1" x14ac:dyDescent="0.25">
      <c r="A34" s="36" t="s">
        <v>557</v>
      </c>
      <c r="B34" s="141"/>
      <c r="C34" s="527">
        <v>29594024</v>
      </c>
      <c r="D34" s="528">
        <v>30995608.251600005</v>
      </c>
      <c r="E34" s="529">
        <v>30995608.251600005</v>
      </c>
      <c r="F34" s="529">
        <v>32008255</v>
      </c>
      <c r="G34" s="517">
        <v>30995608.251600005</v>
      </c>
    </row>
    <row r="35" spans="1:7" ht="12.75" customHeight="1" x14ac:dyDescent="0.25">
      <c r="A35" s="81" t="s">
        <v>466</v>
      </c>
      <c r="B35" s="854"/>
      <c r="C35" s="206">
        <f>SUM(C30:C34)</f>
        <v>148202492</v>
      </c>
      <c r="D35" s="66">
        <f>SUM(D30:D34)</f>
        <v>111080231.19366536</v>
      </c>
      <c r="E35" s="65">
        <f>SUM(E30:E34)</f>
        <v>111080231.19366536</v>
      </c>
      <c r="F35" s="65">
        <f>SUM(F30:F34)</f>
        <v>176859014</v>
      </c>
      <c r="G35" s="120">
        <f>SUM(G30:G34)</f>
        <v>111080231.19366536</v>
      </c>
    </row>
    <row r="36" spans="1:7" ht="5.0999999999999996" customHeight="1" x14ac:dyDescent="0.25">
      <c r="A36" s="39"/>
      <c r="B36" s="141"/>
      <c r="C36" s="111"/>
      <c r="D36" s="43"/>
      <c r="E36" s="41"/>
      <c r="F36" s="41"/>
      <c r="G36" s="119"/>
    </row>
    <row r="37" spans="1:7" ht="12.75" customHeight="1" x14ac:dyDescent="0.25">
      <c r="A37" s="77" t="s">
        <v>464</v>
      </c>
      <c r="B37" s="141"/>
      <c r="C37" s="111"/>
      <c r="D37" s="43"/>
      <c r="E37" s="41"/>
      <c r="F37" s="41"/>
      <c r="G37" s="119"/>
    </row>
    <row r="38" spans="1:7" ht="12.75" customHeight="1" x14ac:dyDescent="0.25">
      <c r="A38" s="36" t="s">
        <v>789</v>
      </c>
      <c r="B38" s="141"/>
      <c r="C38" s="526">
        <v>214291004</v>
      </c>
      <c r="D38" s="903">
        <v>203881100.30000004</v>
      </c>
      <c r="E38" s="904">
        <v>203881100.30000004</v>
      </c>
      <c r="F38" s="329">
        <v>203881101</v>
      </c>
      <c r="G38" s="905">
        <v>203881100.30000004</v>
      </c>
    </row>
    <row r="39" spans="1:7" ht="12.75" customHeight="1" x14ac:dyDescent="0.25">
      <c r="A39" s="36" t="s">
        <v>557</v>
      </c>
      <c r="B39" s="141"/>
      <c r="C39" s="526">
        <v>230057975</v>
      </c>
      <c r="D39" s="903">
        <v>236096118.94833776</v>
      </c>
      <c r="E39" s="904">
        <v>236096118.94833776</v>
      </c>
      <c r="F39" s="329">
        <v>231779733</v>
      </c>
      <c r="G39" s="905">
        <v>236096118.94833776</v>
      </c>
    </row>
    <row r="40" spans="1:7" ht="12.75" customHeight="1" x14ac:dyDescent="0.25">
      <c r="A40" s="81" t="s">
        <v>465</v>
      </c>
      <c r="B40" s="854"/>
      <c r="C40" s="206">
        <f>SUM(C38:C39)</f>
        <v>444348979</v>
      </c>
      <c r="D40" s="66">
        <f>SUM(D38:D39)</f>
        <v>439977219.24833781</v>
      </c>
      <c r="E40" s="65">
        <f>SUM(E38:E39)</f>
        <v>439977219.24833781</v>
      </c>
      <c r="F40" s="65">
        <f>SUM(F38:F39)</f>
        <v>435660834</v>
      </c>
      <c r="G40" s="120">
        <f>SUM(G38:G39)</f>
        <v>439977219.24833781</v>
      </c>
    </row>
    <row r="41" spans="1:7" ht="12.75" customHeight="1" x14ac:dyDescent="0.25">
      <c r="A41" s="81" t="s">
        <v>1</v>
      </c>
      <c r="B41" s="854"/>
      <c r="C41" s="206">
        <f>C35+C40</f>
        <v>592551471</v>
      </c>
      <c r="D41" s="66">
        <f>D35+D40</f>
        <v>551057450.44200313</v>
      </c>
      <c r="E41" s="65">
        <f>E35+E40</f>
        <v>551057450.44200313</v>
      </c>
      <c r="F41" s="65">
        <f>F35+F40</f>
        <v>612519848</v>
      </c>
      <c r="G41" s="120">
        <f>G35+G40</f>
        <v>551057450.44200313</v>
      </c>
    </row>
    <row r="42" spans="1:7" ht="5.0999999999999996" customHeight="1" x14ac:dyDescent="0.25">
      <c r="A42" s="39"/>
      <c r="B42" s="141"/>
      <c r="C42" s="111"/>
      <c r="D42" s="43"/>
      <c r="E42" s="41"/>
      <c r="F42" s="41"/>
      <c r="G42" s="119"/>
    </row>
    <row r="43" spans="1:7" ht="12.75" customHeight="1" x14ac:dyDescent="0.25">
      <c r="A43" s="83" t="s">
        <v>787</v>
      </c>
      <c r="B43" s="861">
        <v>2</v>
      </c>
      <c r="C43" s="207">
        <f>C26-C41</f>
        <v>1723547720</v>
      </c>
      <c r="D43" s="69">
        <f>D26-D41</f>
        <v>2031365337.7425299</v>
      </c>
      <c r="E43" s="68">
        <f>E26-E41</f>
        <v>2031365337.7425299</v>
      </c>
      <c r="F43" s="68">
        <f>F26-F41</f>
        <v>1894912504</v>
      </c>
      <c r="G43" s="197">
        <f>G26-G41</f>
        <v>2031365337.7425299</v>
      </c>
    </row>
    <row r="44" spans="1:7" ht="5.0999999999999996" customHeight="1" x14ac:dyDescent="0.25">
      <c r="A44" s="39"/>
      <c r="B44" s="141"/>
      <c r="C44" s="111"/>
      <c r="D44" s="43"/>
      <c r="E44" s="41"/>
      <c r="F44" s="41"/>
      <c r="G44" s="119"/>
    </row>
    <row r="45" spans="1:7" ht="12.75" customHeight="1" x14ac:dyDescent="0.25">
      <c r="A45" s="32" t="s">
        <v>644</v>
      </c>
      <c r="B45" s="141"/>
      <c r="C45" s="111"/>
      <c r="D45" s="43"/>
      <c r="E45" s="41"/>
      <c r="F45" s="41"/>
      <c r="G45" s="119"/>
    </row>
    <row r="46" spans="1:7" ht="12.75" customHeight="1" x14ac:dyDescent="0.25">
      <c r="A46" s="36" t="s">
        <v>580</v>
      </c>
      <c r="B46" s="141"/>
      <c r="C46" s="526">
        <v>1723547720</v>
      </c>
      <c r="D46" s="328">
        <v>2027697159.6725302</v>
      </c>
      <c r="E46" s="329">
        <v>2027697159.6725302</v>
      </c>
      <c r="F46" s="329">
        <v>1894912504</v>
      </c>
      <c r="G46" s="517">
        <v>2027697159.6725302</v>
      </c>
    </row>
    <row r="47" spans="1:7" ht="12.75" customHeight="1" x14ac:dyDescent="0.25">
      <c r="A47" s="36" t="s">
        <v>916</v>
      </c>
      <c r="B47" s="141"/>
      <c r="C47" s="526">
        <v>0</v>
      </c>
      <c r="D47" s="853">
        <v>3668178.0699996948</v>
      </c>
      <c r="E47" s="329">
        <v>3668178.0699996948</v>
      </c>
      <c r="F47" s="329">
        <v>0</v>
      </c>
      <c r="G47" s="517">
        <v>3668178.0699996948</v>
      </c>
    </row>
    <row r="48" spans="1:7" ht="12.75" customHeight="1" x14ac:dyDescent="0.25">
      <c r="A48" s="49" t="s">
        <v>637</v>
      </c>
      <c r="B48" s="862">
        <v>2</v>
      </c>
      <c r="C48" s="94">
        <f>SUM(C46:C47)</f>
        <v>1723547720</v>
      </c>
      <c r="D48" s="52">
        <f>SUM(D46:D47)</f>
        <v>2031365337.7425299</v>
      </c>
      <c r="E48" s="51">
        <f>SUM(E46:E47)</f>
        <v>2031365337.7425299</v>
      </c>
      <c r="F48" s="51">
        <f>SUM(F46:F47)</f>
        <v>1894912504</v>
      </c>
      <c r="G48" s="198">
        <f>SUM(G46:G47)</f>
        <v>2031365337.7425299</v>
      </c>
    </row>
    <row r="49" spans="1:7" ht="12.75" customHeight="1" x14ac:dyDescent="0.25">
      <c r="A49" s="70" t="str">
        <f>head27a</f>
        <v>References</v>
      </c>
      <c r="C49" s="45"/>
      <c r="D49" s="45"/>
      <c r="E49" s="45"/>
      <c r="F49" s="45"/>
      <c r="G49" s="45"/>
    </row>
    <row r="50" spans="1:7" ht="13.5" customHeight="1" x14ac:dyDescent="0.25">
      <c r="A50" s="1001" t="s">
        <v>149</v>
      </c>
      <c r="B50" s="1001"/>
      <c r="C50" s="1001"/>
      <c r="D50" s="1001"/>
      <c r="E50" s="1001"/>
      <c r="F50" s="1001"/>
      <c r="G50" s="1001"/>
    </row>
    <row r="51" spans="1:7" ht="13.5" customHeight="1" x14ac:dyDescent="0.25">
      <c r="A51" s="72" t="s">
        <v>912</v>
      </c>
      <c r="B51" s="58"/>
      <c r="C51" s="71"/>
      <c r="D51" s="71"/>
      <c r="E51" s="71"/>
      <c r="F51" s="71"/>
      <c r="G51" s="71"/>
    </row>
    <row r="52" spans="1:7" ht="11.25" customHeight="1" x14ac:dyDescent="0.25">
      <c r="A52" s="72"/>
      <c r="B52" s="58"/>
      <c r="C52" s="71"/>
      <c r="D52" s="71"/>
      <c r="E52" s="71"/>
      <c r="F52" s="71"/>
      <c r="G52" s="71"/>
    </row>
    <row r="53" spans="1:7" ht="11.25" customHeight="1" x14ac:dyDescent="0.25">
      <c r="A53" s="72"/>
      <c r="B53" s="58"/>
      <c r="C53" s="71"/>
      <c r="D53" s="71"/>
      <c r="E53" s="71"/>
      <c r="F53" s="71"/>
      <c r="G53" s="71"/>
    </row>
    <row r="54" spans="1:7" ht="11.25" customHeight="1" x14ac:dyDescent="0.25">
      <c r="A54" s="59" t="s">
        <v>733</v>
      </c>
      <c r="B54" s="58"/>
      <c r="C54" s="60">
        <f>C43-C48</f>
        <v>0</v>
      </c>
      <c r="D54" s="60">
        <f>D43-D48</f>
        <v>0</v>
      </c>
      <c r="E54" s="60">
        <f>E43-E48</f>
        <v>0</v>
      </c>
      <c r="F54" s="60">
        <f>F43-F48</f>
        <v>0</v>
      </c>
      <c r="G54" s="60">
        <f>G43-G48</f>
        <v>0</v>
      </c>
    </row>
  </sheetData>
  <mergeCells count="4">
    <mergeCell ref="A2:A3"/>
    <mergeCell ref="B2:B3"/>
    <mergeCell ref="A50:G50"/>
    <mergeCell ref="A1:G1"/>
  </mergeCells>
  <phoneticPr fontId="3" type="noConversion"/>
  <printOptions horizontalCentered="1"/>
  <pageMargins left="0.19685039370078741" right="0.19685039370078741" top="0.59055118110236227" bottom="0.59055118110236227" header="0.51181102362204722" footer="0.39370078740157483"/>
  <pageSetup paperSize="9" orientation="portrait" r:id="rId1"/>
  <headerFooter alignWithMargins="0"/>
  <ignoredErrors>
    <ignoredError sqref="G7 F13:G15 G8 G9 G10 G11 G12 F25:G30 G23 G21:G22 G20 F35:G37 G31 G32 G33 G34 G46 F40:G45 G39 G38 G17 G16 G19 G18 G24"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5">
    <tabColor indexed="44"/>
    <pageSetUpPr fitToPage="1"/>
  </sheetPr>
  <dimension ref="A1:K43"/>
  <sheetViews>
    <sheetView showGridLines="0" view="pageBreakPreview" zoomScaleNormal="100" zoomScaleSheetLayoutView="100" workbookViewId="0">
      <pane xSplit="2" ySplit="4" topLeftCell="C5" activePane="bottomRight" state="frozen"/>
      <selection pane="topRight"/>
      <selection pane="bottomLeft"/>
      <selection pane="bottomRight" activeCell="L29" sqref="L29"/>
    </sheetView>
  </sheetViews>
  <sheetFormatPr defaultColWidth="9.140625" defaultRowHeight="12.75" x14ac:dyDescent="0.25"/>
  <cols>
    <col min="1" max="1" width="36" style="22" bestFit="1" customWidth="1"/>
    <col min="2" max="2" width="3.140625" style="54" customWidth="1"/>
    <col min="3" max="8" width="8.7109375" style="22" customWidth="1"/>
    <col min="9" max="10" width="6.7109375" style="22" customWidth="1"/>
    <col min="11" max="11" width="8.7109375" style="22" customWidth="1"/>
    <col min="12" max="12" width="9.85546875" style="22" customWidth="1"/>
    <col min="13" max="13" width="9.5703125" style="22" customWidth="1"/>
    <col min="14" max="14" width="9.85546875" style="22" customWidth="1"/>
    <col min="15" max="17" width="9.5703125" style="22" customWidth="1"/>
    <col min="18" max="18" width="9.85546875" style="22" customWidth="1"/>
    <col min="19" max="21" width="9.5703125" style="22" customWidth="1"/>
    <col min="22" max="23" width="9.85546875" style="22" customWidth="1"/>
    <col min="24" max="16384" width="9.140625" style="22"/>
  </cols>
  <sheetData>
    <row r="1" spans="1:11" ht="13.5" x14ac:dyDescent="0.25">
      <c r="A1" s="1003" t="str">
        <f>muni&amp; " - "&amp;S71F&amp; " - "&amp;date</f>
        <v>WC025 Breede Valley - Table C7 Monthly Budget Statement - Cash Flow  - Q4 Fourth Quarter</v>
      </c>
      <c r="B1" s="1003"/>
      <c r="C1" s="1003"/>
      <c r="D1" s="1003"/>
      <c r="E1" s="1003"/>
      <c r="F1" s="1003"/>
      <c r="G1" s="1003"/>
      <c r="H1" s="1003"/>
      <c r="I1" s="1003"/>
      <c r="J1" s="1003"/>
      <c r="K1" s="1003"/>
    </row>
    <row r="2" spans="1:11" x14ac:dyDescent="0.25">
      <c r="A2" s="980" t="str">
        <f>desc</f>
        <v>Description</v>
      </c>
      <c r="B2" s="973" t="str">
        <f>head27</f>
        <v>Ref</v>
      </c>
      <c r="C2" s="115" t="str">
        <f>Head1</f>
        <v>2017/18</v>
      </c>
      <c r="D2" s="208" t="str">
        <f>Head2</f>
        <v>Budget Year 2018/19</v>
      </c>
      <c r="E2" s="192"/>
      <c r="F2" s="192"/>
      <c r="G2" s="192"/>
      <c r="H2" s="192"/>
      <c r="I2" s="192"/>
      <c r="J2" s="192"/>
      <c r="K2" s="193"/>
    </row>
    <row r="3" spans="1:11" ht="25.5" x14ac:dyDescent="0.25">
      <c r="A3" s="981"/>
      <c r="B3" s="987"/>
      <c r="C3" s="132" t="str">
        <f>Head5</f>
        <v>Audited Outcome</v>
      </c>
      <c r="D3" s="164" t="str">
        <f>Head6</f>
        <v>Original Budget</v>
      </c>
      <c r="E3" s="116" t="str">
        <f>Head7</f>
        <v>Adjusted Budget</v>
      </c>
      <c r="F3" s="116" t="str">
        <f>Head38</f>
        <v>Monthly actual</v>
      </c>
      <c r="G3" s="116" t="str">
        <f>Head39</f>
        <v>YearTD actual</v>
      </c>
      <c r="H3" s="116" t="str">
        <f>Head40</f>
        <v>YearTD budget</v>
      </c>
      <c r="I3" s="116" t="str">
        <f>Head41</f>
        <v>YTD variance</v>
      </c>
      <c r="J3" s="170" t="str">
        <f>Head41</f>
        <v>YTD variance</v>
      </c>
      <c r="K3" s="137" t="str">
        <f>Head8</f>
        <v>Full Year Forecast</v>
      </c>
    </row>
    <row r="4" spans="1:11" x14ac:dyDescent="0.25">
      <c r="A4" s="31" t="s">
        <v>678</v>
      </c>
      <c r="B4" s="97">
        <v>1</v>
      </c>
      <c r="C4" s="153"/>
      <c r="D4" s="203"/>
      <c r="E4" s="204"/>
      <c r="F4" s="74"/>
      <c r="G4" s="74"/>
      <c r="H4" s="74"/>
      <c r="I4" s="74"/>
      <c r="J4" s="205" t="s">
        <v>586</v>
      </c>
      <c r="K4" s="187"/>
    </row>
    <row r="5" spans="1:11" ht="12.75" customHeight="1" x14ac:dyDescent="0.25">
      <c r="A5" s="231" t="s">
        <v>846</v>
      </c>
      <c r="B5" s="152"/>
      <c r="C5" s="143"/>
      <c r="D5" s="34"/>
      <c r="E5" s="33"/>
      <c r="F5" s="33"/>
      <c r="G5" s="33"/>
      <c r="H5" s="33"/>
      <c r="I5" s="33"/>
      <c r="J5" s="33"/>
      <c r="K5" s="190"/>
    </row>
    <row r="6" spans="1:11" ht="12.75" customHeight="1" x14ac:dyDescent="0.25">
      <c r="A6" s="77" t="s">
        <v>910</v>
      </c>
      <c r="B6" s="142"/>
      <c r="C6" s="37"/>
      <c r="D6" s="87"/>
      <c r="E6" s="86"/>
      <c r="F6" s="86"/>
      <c r="G6" s="86"/>
      <c r="H6" s="86"/>
      <c r="I6" s="86"/>
      <c r="J6" s="86"/>
      <c r="K6" s="228"/>
    </row>
    <row r="7" spans="1:11" ht="12.75" customHeight="1" x14ac:dyDescent="0.25">
      <c r="A7" s="36" t="s">
        <v>946</v>
      </c>
      <c r="B7" s="142"/>
      <c r="C7" s="526">
        <v>90608548.749999985</v>
      </c>
      <c r="D7" s="328">
        <v>138769060</v>
      </c>
      <c r="E7" s="329">
        <v>127370032.00000001</v>
      </c>
      <c r="F7" s="329">
        <v>7215783.9900000002</v>
      </c>
      <c r="G7" s="329">
        <v>106902373.24999999</v>
      </c>
      <c r="H7" s="329">
        <v>127370032</v>
      </c>
      <c r="I7" s="41">
        <f t="shared" ref="I7:I13" si="0">G7-H7</f>
        <v>-20467658.750000015</v>
      </c>
      <c r="J7" s="165">
        <f>IF(I7=0,"",I7/H7)</f>
        <v>-0.16069446186525269</v>
      </c>
      <c r="K7" s="517">
        <v>138769060</v>
      </c>
    </row>
    <row r="8" spans="1:11" ht="12.75" customHeight="1" x14ac:dyDescent="0.25">
      <c r="A8" s="36" t="s">
        <v>977</v>
      </c>
      <c r="B8" s="142"/>
      <c r="C8" s="526">
        <v>521579612.03999996</v>
      </c>
      <c r="D8" s="328">
        <v>570799592</v>
      </c>
      <c r="E8" s="329">
        <v>567130180.4000001</v>
      </c>
      <c r="F8" s="329">
        <v>45936272.390000001</v>
      </c>
      <c r="G8" s="329">
        <v>551970770.96000004</v>
      </c>
      <c r="H8" s="329">
        <v>567130180.39999998</v>
      </c>
      <c r="I8" s="41">
        <f t="shared" si="0"/>
        <v>-15159409.439999938</v>
      </c>
      <c r="J8" s="165">
        <f>IF(I8=0,"",I8/H8)</f>
        <v>-2.6730034767869212E-2</v>
      </c>
      <c r="K8" s="517">
        <v>570799592</v>
      </c>
    </row>
    <row r="9" spans="1:11" ht="12.75" customHeight="1" x14ac:dyDescent="0.25">
      <c r="A9" s="36" t="s">
        <v>460</v>
      </c>
      <c r="B9" s="142"/>
      <c r="C9" s="526">
        <v>165390660.03999999</v>
      </c>
      <c r="D9" s="328">
        <v>55381737</v>
      </c>
      <c r="E9" s="329">
        <v>56837836.599999979</v>
      </c>
      <c r="F9" s="329">
        <v>15555285.27</v>
      </c>
      <c r="G9" s="329">
        <v>194099879.12</v>
      </c>
      <c r="H9" s="329">
        <v>56837836.599999964</v>
      </c>
      <c r="I9" s="41">
        <f t="shared" si="0"/>
        <v>137262042.52000004</v>
      </c>
      <c r="J9" s="165">
        <f>IF(I9=0,"",I9/H9)</f>
        <v>2.4149765496176561</v>
      </c>
      <c r="K9" s="517">
        <v>55381737</v>
      </c>
    </row>
    <row r="10" spans="1:11" ht="12.75" customHeight="1" x14ac:dyDescent="0.25">
      <c r="A10" s="36" t="s">
        <v>707</v>
      </c>
      <c r="B10" s="142"/>
      <c r="C10" s="526">
        <v>175603764</v>
      </c>
      <c r="D10" s="328">
        <v>146455247</v>
      </c>
      <c r="E10" s="329">
        <v>143812698</v>
      </c>
      <c r="F10" s="329">
        <v>2550000</v>
      </c>
      <c r="G10" s="329">
        <v>133605964.60000001</v>
      </c>
      <c r="H10" s="329">
        <v>143812698</v>
      </c>
      <c r="I10" s="41">
        <f t="shared" si="0"/>
        <v>-10206733.399999991</v>
      </c>
      <c r="J10" s="165">
        <f>IF(I10=0,"",I10/H10)</f>
        <v>-7.097240745737203E-2</v>
      </c>
      <c r="K10" s="517">
        <v>146455247</v>
      </c>
    </row>
    <row r="11" spans="1:11" ht="12.75" customHeight="1" x14ac:dyDescent="0.25">
      <c r="A11" s="36" t="s">
        <v>708</v>
      </c>
      <c r="B11" s="142"/>
      <c r="C11" s="526">
        <v>50642950.350000001</v>
      </c>
      <c r="D11" s="328">
        <v>141090000</v>
      </c>
      <c r="E11" s="329">
        <v>149383296</v>
      </c>
      <c r="F11" s="329">
        <v>0</v>
      </c>
      <c r="G11" s="329">
        <v>113179386.95999999</v>
      </c>
      <c r="H11" s="329">
        <v>149383296</v>
      </c>
      <c r="I11" s="41">
        <f t="shared" si="0"/>
        <v>-36203909.040000007</v>
      </c>
      <c r="J11" s="165">
        <f t="shared" ref="J11:J18" si="1">IF(I11=0,"",I11/H11)</f>
        <v>-0.2423558055647668</v>
      </c>
      <c r="K11" s="517">
        <v>141090000</v>
      </c>
    </row>
    <row r="12" spans="1:11" ht="12.75" customHeight="1" x14ac:dyDescent="0.25">
      <c r="A12" s="36" t="s">
        <v>896</v>
      </c>
      <c r="B12" s="142"/>
      <c r="C12" s="526">
        <v>20380030.869999997</v>
      </c>
      <c r="D12" s="328">
        <v>15951200</v>
      </c>
      <c r="E12" s="329">
        <v>17146888</v>
      </c>
      <c r="F12" s="329">
        <v>1344549</v>
      </c>
      <c r="G12" s="329">
        <v>15709802.289999999</v>
      </c>
      <c r="H12" s="329">
        <v>17146888</v>
      </c>
      <c r="I12" s="41">
        <f t="shared" si="0"/>
        <v>-1437085.7100000009</v>
      </c>
      <c r="J12" s="165">
        <f t="shared" si="1"/>
        <v>-8.3810293156402538E-2</v>
      </c>
      <c r="K12" s="517">
        <v>15951200</v>
      </c>
    </row>
    <row r="13" spans="1:11" ht="12.75" customHeight="1" x14ac:dyDescent="0.25">
      <c r="A13" s="36" t="s">
        <v>677</v>
      </c>
      <c r="B13" s="142"/>
      <c r="C13" s="526">
        <v>0</v>
      </c>
      <c r="D13" s="328">
        <v>0</v>
      </c>
      <c r="E13" s="329">
        <v>0</v>
      </c>
      <c r="F13" s="329">
        <v>0</v>
      </c>
      <c r="G13" s="329">
        <v>0</v>
      </c>
      <c r="H13" s="329">
        <v>0</v>
      </c>
      <c r="I13" s="41">
        <f t="shared" si="0"/>
        <v>0</v>
      </c>
      <c r="J13" s="165" t="str">
        <f t="shared" si="1"/>
        <v/>
      </c>
      <c r="K13" s="517">
        <v>0</v>
      </c>
    </row>
    <row r="14" spans="1:11" ht="12.75" customHeight="1" x14ac:dyDescent="0.25">
      <c r="A14" s="77" t="s">
        <v>911</v>
      </c>
      <c r="B14" s="142"/>
      <c r="C14" s="111"/>
      <c r="D14" s="43"/>
      <c r="E14" s="41"/>
      <c r="F14" s="41"/>
      <c r="G14" s="41"/>
      <c r="H14" s="41"/>
      <c r="I14" s="41"/>
      <c r="J14" s="165"/>
      <c r="K14" s="119"/>
    </row>
    <row r="15" spans="1:11" ht="12.75" customHeight="1" x14ac:dyDescent="0.25">
      <c r="A15" s="36" t="s">
        <v>709</v>
      </c>
      <c r="B15" s="142"/>
      <c r="C15" s="526">
        <v>-858593899.09000003</v>
      </c>
      <c r="D15" s="328">
        <v>-819089608</v>
      </c>
      <c r="E15" s="329">
        <v>-777260009</v>
      </c>
      <c r="F15" s="329">
        <v>-85347264.459999993</v>
      </c>
      <c r="G15" s="329">
        <v>-917842638.48000002</v>
      </c>
      <c r="H15" s="329">
        <v>-777260009</v>
      </c>
      <c r="I15" s="41">
        <f>H15-G15</f>
        <v>140582629.48000002</v>
      </c>
      <c r="J15" s="165">
        <f t="shared" si="1"/>
        <v>-0.18086950036303748</v>
      </c>
      <c r="K15" s="517">
        <v>-819089608</v>
      </c>
    </row>
    <row r="16" spans="1:11" ht="12.75" customHeight="1" x14ac:dyDescent="0.25">
      <c r="A16" s="36" t="s">
        <v>459</v>
      </c>
      <c r="B16" s="142"/>
      <c r="C16" s="526">
        <v>-26373865.84</v>
      </c>
      <c r="D16" s="328">
        <v>-25050446.960000001</v>
      </c>
      <c r="E16" s="329">
        <v>-24505128</v>
      </c>
      <c r="F16" s="329">
        <v>0</v>
      </c>
      <c r="G16" s="329">
        <v>-24951312.329999998</v>
      </c>
      <c r="H16" s="329">
        <v>-24505128</v>
      </c>
      <c r="I16" s="41">
        <f>H16-G16</f>
        <v>446184.32999999821</v>
      </c>
      <c r="J16" s="165">
        <f t="shared" si="1"/>
        <v>-1.8207794303298403E-2</v>
      </c>
      <c r="K16" s="517">
        <v>-25050446.960000001</v>
      </c>
    </row>
    <row r="17" spans="1:11" ht="12.75" customHeight="1" x14ac:dyDescent="0.25">
      <c r="A17" s="36" t="s">
        <v>69</v>
      </c>
      <c r="B17" s="142"/>
      <c r="C17" s="526">
        <v>-15742741.300000001</v>
      </c>
      <c r="D17" s="328">
        <v>-21598146</v>
      </c>
      <c r="E17" s="329">
        <v>-19658127</v>
      </c>
      <c r="F17" s="329">
        <v>-976534</v>
      </c>
      <c r="G17" s="329">
        <v>-4914611.97</v>
      </c>
      <c r="H17" s="329">
        <v>-19658127</v>
      </c>
      <c r="I17" s="41">
        <f>H17-G17</f>
        <v>-14743515.030000001</v>
      </c>
      <c r="J17" s="165">
        <f t="shared" si="1"/>
        <v>0.74999591924500242</v>
      </c>
      <c r="K17" s="517">
        <v>-21598146</v>
      </c>
    </row>
    <row r="18" spans="1:11" ht="12.75" customHeight="1" x14ac:dyDescent="0.25">
      <c r="A18" s="81" t="s">
        <v>900</v>
      </c>
      <c r="B18" s="196"/>
      <c r="C18" s="206">
        <f t="shared" ref="C18:H18" si="2">SUM(C7:C13)+SUM(C15:C17)</f>
        <v>123495059.81999993</v>
      </c>
      <c r="D18" s="66">
        <f t="shared" si="2"/>
        <v>202708635.03999996</v>
      </c>
      <c r="E18" s="65">
        <f t="shared" si="2"/>
        <v>240257667.00000012</v>
      </c>
      <c r="F18" s="65">
        <f t="shared" si="2"/>
        <v>-13721907.809999987</v>
      </c>
      <c r="G18" s="65">
        <f t="shared" si="2"/>
        <v>167759614.39999998</v>
      </c>
      <c r="H18" s="65">
        <f t="shared" si="2"/>
        <v>240257667</v>
      </c>
      <c r="I18" s="65">
        <f>H18-G18</f>
        <v>72498052.600000024</v>
      </c>
      <c r="J18" s="280">
        <f t="shared" si="1"/>
        <v>0.30175125524714275</v>
      </c>
      <c r="K18" s="120">
        <f>SUM(K7:K13)+SUM(K15:K17)</f>
        <v>202708635.03999996</v>
      </c>
    </row>
    <row r="19" spans="1:11" ht="5.0999999999999996" customHeight="1" x14ac:dyDescent="0.25">
      <c r="A19" s="39"/>
      <c r="B19" s="142"/>
      <c r="C19" s="111"/>
      <c r="D19" s="43"/>
      <c r="E19" s="41"/>
      <c r="F19" s="41"/>
      <c r="G19" s="41"/>
      <c r="H19" s="41"/>
      <c r="I19" s="41"/>
      <c r="J19" s="41"/>
      <c r="K19" s="119"/>
    </row>
    <row r="20" spans="1:11" ht="12.75" customHeight="1" x14ac:dyDescent="0.25">
      <c r="A20" s="77" t="s">
        <v>734</v>
      </c>
      <c r="B20" s="142"/>
      <c r="C20" s="111"/>
      <c r="D20" s="43"/>
      <c r="E20" s="41"/>
      <c r="F20" s="41"/>
      <c r="G20" s="41"/>
      <c r="H20" s="41"/>
      <c r="I20" s="41"/>
      <c r="J20" s="41"/>
      <c r="K20" s="119"/>
    </row>
    <row r="21" spans="1:11" ht="12.75" customHeight="1" x14ac:dyDescent="0.25">
      <c r="A21" s="77" t="s">
        <v>910</v>
      </c>
      <c r="B21" s="142"/>
      <c r="C21" s="111"/>
      <c r="D21" s="43"/>
      <c r="E21" s="41"/>
      <c r="F21" s="41"/>
      <c r="G21" s="41"/>
      <c r="H21" s="41"/>
      <c r="I21" s="41"/>
      <c r="J21" s="41"/>
      <c r="K21" s="119"/>
    </row>
    <row r="22" spans="1:11" ht="12.75" customHeight="1" x14ac:dyDescent="0.25">
      <c r="A22" s="36" t="s">
        <v>937</v>
      </c>
      <c r="B22" s="142"/>
      <c r="C22" s="526">
        <v>0</v>
      </c>
      <c r="D22" s="328">
        <v>0</v>
      </c>
      <c r="E22" s="329">
        <v>0</v>
      </c>
      <c r="F22" s="329">
        <v>0</v>
      </c>
      <c r="G22" s="329">
        <v>0</v>
      </c>
      <c r="H22" s="329">
        <v>0</v>
      </c>
      <c r="I22" s="41">
        <f>G22-H22</f>
        <v>0</v>
      </c>
      <c r="J22" s="165" t="str">
        <f t="shared" ref="J22:J28" si="3">IF(I22=0,"",I22/H22)</f>
        <v/>
      </c>
      <c r="K22" s="517">
        <v>0</v>
      </c>
    </row>
    <row r="23" spans="1:11" ht="12.75" customHeight="1" x14ac:dyDescent="0.25">
      <c r="A23" s="36" t="s">
        <v>446</v>
      </c>
      <c r="B23" s="142"/>
      <c r="C23" s="526">
        <v>0</v>
      </c>
      <c r="D23" s="328">
        <v>0</v>
      </c>
      <c r="E23" s="329">
        <v>0</v>
      </c>
      <c r="F23" s="329">
        <v>0</v>
      </c>
      <c r="G23" s="329">
        <v>0</v>
      </c>
      <c r="H23" s="329">
        <v>0</v>
      </c>
      <c r="I23" s="41">
        <f>G23-H23</f>
        <v>0</v>
      </c>
      <c r="J23" s="165" t="str">
        <f t="shared" si="3"/>
        <v/>
      </c>
      <c r="K23" s="517">
        <v>0</v>
      </c>
    </row>
    <row r="24" spans="1:11" ht="12.75" customHeight="1" x14ac:dyDescent="0.25">
      <c r="A24" s="36" t="s">
        <v>898</v>
      </c>
      <c r="B24" s="146"/>
      <c r="C24" s="526">
        <v>86055.65</v>
      </c>
      <c r="D24" s="328">
        <v>50000</v>
      </c>
      <c r="E24" s="329">
        <v>50000</v>
      </c>
      <c r="F24" s="329">
        <v>4340</v>
      </c>
      <c r="G24" s="329">
        <v>66971</v>
      </c>
      <c r="H24" s="329">
        <v>50000</v>
      </c>
      <c r="I24" s="41">
        <f>G24-H24</f>
        <v>16971</v>
      </c>
      <c r="J24" s="165">
        <f t="shared" si="3"/>
        <v>0.33942</v>
      </c>
      <c r="K24" s="517">
        <v>50000</v>
      </c>
    </row>
    <row r="25" spans="1:11" ht="12.75" customHeight="1" x14ac:dyDescent="0.25">
      <c r="A25" s="36" t="s">
        <v>899</v>
      </c>
      <c r="B25" s="142"/>
      <c r="C25" s="526">
        <v>0</v>
      </c>
      <c r="D25" s="328">
        <v>0</v>
      </c>
      <c r="E25" s="329">
        <v>0</v>
      </c>
      <c r="F25" s="329">
        <v>0</v>
      </c>
      <c r="G25" s="329">
        <v>0</v>
      </c>
      <c r="H25" s="329">
        <v>0</v>
      </c>
      <c r="I25" s="41">
        <f>G25-H25</f>
        <v>0</v>
      </c>
      <c r="J25" s="165" t="str">
        <f t="shared" si="3"/>
        <v/>
      </c>
      <c r="K25" s="517">
        <v>0</v>
      </c>
    </row>
    <row r="26" spans="1:11" ht="12.75" customHeight="1" x14ac:dyDescent="0.25">
      <c r="A26" s="77" t="s">
        <v>911</v>
      </c>
      <c r="B26" s="142"/>
      <c r="C26" s="111"/>
      <c r="D26" s="43"/>
      <c r="E26" s="41"/>
      <c r="F26" s="41"/>
      <c r="G26" s="41"/>
      <c r="H26" s="41"/>
      <c r="I26" s="41"/>
      <c r="J26" s="41"/>
      <c r="K26" s="119"/>
    </row>
    <row r="27" spans="1:11" ht="12.75" customHeight="1" x14ac:dyDescent="0.25">
      <c r="A27" s="36" t="s">
        <v>710</v>
      </c>
      <c r="B27" s="142"/>
      <c r="C27" s="526">
        <v>-159056343.37</v>
      </c>
      <c r="D27" s="328">
        <v>-226667177</v>
      </c>
      <c r="E27" s="329">
        <v>-272453658.22000003</v>
      </c>
      <c r="F27" s="329">
        <v>-28743511</v>
      </c>
      <c r="G27" s="329">
        <v>-210402699.13999999</v>
      </c>
      <c r="H27" s="329">
        <v>-272453658.22000003</v>
      </c>
      <c r="I27" s="41">
        <f>H27-G27</f>
        <v>-62050959.080000043</v>
      </c>
      <c r="J27" s="165">
        <f t="shared" si="3"/>
        <v>0.22774867287667441</v>
      </c>
      <c r="K27" s="517">
        <v>-226667177</v>
      </c>
    </row>
    <row r="28" spans="1:11" ht="12.75" customHeight="1" x14ac:dyDescent="0.25">
      <c r="A28" s="81" t="s">
        <v>901</v>
      </c>
      <c r="B28" s="196"/>
      <c r="C28" s="65">
        <f t="shared" ref="C28:H28" si="4">SUM(C22:C25)+C27</f>
        <v>-158970287.72</v>
      </c>
      <c r="D28" s="66">
        <f>SUM(D22:D25)+D27</f>
        <v>-226617177</v>
      </c>
      <c r="E28" s="65">
        <f t="shared" si="4"/>
        <v>-272403658.22000003</v>
      </c>
      <c r="F28" s="65">
        <f t="shared" si="4"/>
        <v>-28739171</v>
      </c>
      <c r="G28" s="65">
        <f t="shared" si="4"/>
        <v>-210335728.13999999</v>
      </c>
      <c r="H28" s="65">
        <f t="shared" si="4"/>
        <v>-272403658.22000003</v>
      </c>
      <c r="I28" s="65">
        <f>H28-G28</f>
        <v>-62067930.080000043</v>
      </c>
      <c r="J28" s="280">
        <f t="shared" si="3"/>
        <v>0.2278527773289756</v>
      </c>
      <c r="K28" s="120">
        <f>SUM(K22:K25)+K27</f>
        <v>-226617177</v>
      </c>
    </row>
    <row r="29" spans="1:11" ht="5.0999999999999996" customHeight="1" x14ac:dyDescent="0.25">
      <c r="A29" s="39"/>
      <c r="B29" s="142"/>
      <c r="C29" s="111"/>
      <c r="D29" s="43"/>
      <c r="E29" s="41"/>
      <c r="F29" s="41"/>
      <c r="G29" s="41"/>
      <c r="H29" s="41"/>
      <c r="I29" s="41"/>
      <c r="J29" s="41"/>
      <c r="K29" s="119"/>
    </row>
    <row r="30" spans="1:11" ht="12.75" customHeight="1" x14ac:dyDescent="0.25">
      <c r="A30" s="77" t="s">
        <v>756</v>
      </c>
      <c r="B30" s="142"/>
      <c r="C30" s="111"/>
      <c r="D30" s="43"/>
      <c r="E30" s="41"/>
      <c r="F30" s="41"/>
      <c r="G30" s="41"/>
      <c r="H30" s="41"/>
      <c r="I30" s="41"/>
      <c r="J30" s="41"/>
      <c r="K30" s="119"/>
    </row>
    <row r="31" spans="1:11" ht="12.75" customHeight="1" x14ac:dyDescent="0.25">
      <c r="A31" s="77" t="s">
        <v>910</v>
      </c>
      <c r="B31" s="142"/>
      <c r="C31" s="111"/>
      <c r="D31" s="43"/>
      <c r="E31" s="41"/>
      <c r="F31" s="41"/>
      <c r="G31" s="41"/>
      <c r="H31" s="41"/>
      <c r="I31" s="41"/>
      <c r="J31" s="41"/>
      <c r="K31" s="119"/>
    </row>
    <row r="32" spans="1:11" ht="12.75" customHeight="1" x14ac:dyDescent="0.25">
      <c r="A32" s="36" t="s">
        <v>914</v>
      </c>
      <c r="B32" s="142"/>
      <c r="C32" s="526">
        <v>0</v>
      </c>
      <c r="D32" s="328">
        <v>0</v>
      </c>
      <c r="E32" s="329">
        <v>0</v>
      </c>
      <c r="F32" s="329">
        <v>0</v>
      </c>
      <c r="G32" s="329">
        <v>0</v>
      </c>
      <c r="H32" s="329">
        <v>0</v>
      </c>
      <c r="I32" s="41">
        <f>G32-H32</f>
        <v>0</v>
      </c>
      <c r="J32" s="165" t="str">
        <f t="shared" ref="J32:J37" si="5">IF(I32=0,"",I32/H32)</f>
        <v/>
      </c>
      <c r="K32" s="517">
        <v>0</v>
      </c>
    </row>
    <row r="33" spans="1:11" ht="12.75" customHeight="1" x14ac:dyDescent="0.25">
      <c r="A33" s="36" t="s">
        <v>973</v>
      </c>
      <c r="B33" s="142"/>
      <c r="C33" s="526">
        <v>0</v>
      </c>
      <c r="D33" s="328">
        <v>0</v>
      </c>
      <c r="E33" s="329">
        <v>0</v>
      </c>
      <c r="F33" s="329">
        <v>0</v>
      </c>
      <c r="G33" s="329">
        <v>0</v>
      </c>
      <c r="H33" s="329">
        <v>0</v>
      </c>
      <c r="I33" s="41">
        <f>G33-H33</f>
        <v>0</v>
      </c>
      <c r="J33" s="165" t="str">
        <f t="shared" si="5"/>
        <v/>
      </c>
      <c r="K33" s="517">
        <v>0</v>
      </c>
    </row>
    <row r="34" spans="1:11" ht="12.75" customHeight="1" x14ac:dyDescent="0.25">
      <c r="A34" s="36" t="s">
        <v>70</v>
      </c>
      <c r="B34" s="142"/>
      <c r="C34" s="526">
        <v>59008</v>
      </c>
      <c r="D34" s="328">
        <v>50000</v>
      </c>
      <c r="E34" s="329">
        <v>50000</v>
      </c>
      <c r="F34" s="329">
        <v>-69363</v>
      </c>
      <c r="G34" s="329">
        <v>49620</v>
      </c>
      <c r="H34" s="329">
        <v>50000</v>
      </c>
      <c r="I34" s="41">
        <f>G34-H34</f>
        <v>-380</v>
      </c>
      <c r="J34" s="165">
        <f t="shared" si="5"/>
        <v>-7.6E-3</v>
      </c>
      <c r="K34" s="517">
        <v>50000</v>
      </c>
    </row>
    <row r="35" spans="1:11" ht="12.75" customHeight="1" x14ac:dyDescent="0.25">
      <c r="A35" s="77" t="s">
        <v>911</v>
      </c>
      <c r="B35" s="142"/>
      <c r="C35" s="111"/>
      <c r="D35" s="43"/>
      <c r="E35" s="41"/>
      <c r="F35" s="41"/>
      <c r="G35" s="41"/>
      <c r="H35" s="41"/>
      <c r="I35" s="41"/>
      <c r="J35" s="165" t="str">
        <f t="shared" si="5"/>
        <v/>
      </c>
      <c r="K35" s="119"/>
    </row>
    <row r="36" spans="1:11" ht="12.75" customHeight="1" x14ac:dyDescent="0.25">
      <c r="A36" s="36" t="s">
        <v>913</v>
      </c>
      <c r="B36" s="142"/>
      <c r="C36" s="526">
        <v>-17199997</v>
      </c>
      <c r="D36" s="328">
        <v>-7834971.6799999997</v>
      </c>
      <c r="E36" s="329">
        <v>-7834971.6799999997</v>
      </c>
      <c r="F36" s="329">
        <v>0</v>
      </c>
      <c r="G36" s="329">
        <v>-9427059</v>
      </c>
      <c r="H36" s="329">
        <v>-7834971.6799999997</v>
      </c>
      <c r="I36" s="41">
        <f>H36-G36</f>
        <v>1592087.3200000003</v>
      </c>
      <c r="J36" s="165">
        <f t="shared" si="5"/>
        <v>-0.20320268981495546</v>
      </c>
      <c r="K36" s="517">
        <v>-7834971.6799999997</v>
      </c>
    </row>
    <row r="37" spans="1:11" ht="12.75" customHeight="1" x14ac:dyDescent="0.25">
      <c r="A37" s="81" t="s">
        <v>902</v>
      </c>
      <c r="B37" s="196"/>
      <c r="C37" s="65">
        <f t="shared" ref="C37:H37" si="6">SUM(C32:C34)+C36</f>
        <v>-17140989</v>
      </c>
      <c r="D37" s="66">
        <f t="shared" si="6"/>
        <v>-7784971.6799999997</v>
      </c>
      <c r="E37" s="65">
        <f t="shared" si="6"/>
        <v>-7784971.6799999997</v>
      </c>
      <c r="F37" s="65">
        <f t="shared" si="6"/>
        <v>-69363</v>
      </c>
      <c r="G37" s="65">
        <f t="shared" si="6"/>
        <v>-9377439</v>
      </c>
      <c r="H37" s="65">
        <f t="shared" si="6"/>
        <v>-7784971.6799999997</v>
      </c>
      <c r="I37" s="65">
        <f>H37-G37</f>
        <v>1592467.3200000003</v>
      </c>
      <c r="J37" s="280">
        <f t="shared" si="5"/>
        <v>-0.20455659769336507</v>
      </c>
      <c r="K37" s="120">
        <f>SUM(K32:K34)+K36</f>
        <v>-7784971.6799999997</v>
      </c>
    </row>
    <row r="38" spans="1:11" ht="5.0999999999999996" customHeight="1" x14ac:dyDescent="0.25">
      <c r="A38" s="39"/>
      <c r="B38" s="142"/>
      <c r="C38" s="111"/>
      <c r="D38" s="43"/>
      <c r="E38" s="41"/>
      <c r="F38" s="41"/>
      <c r="G38" s="41"/>
      <c r="H38" s="41"/>
      <c r="I38" s="232"/>
      <c r="J38" s="232"/>
      <c r="K38" s="119"/>
    </row>
    <row r="39" spans="1:11" ht="12.75" customHeight="1" x14ac:dyDescent="0.25">
      <c r="A39" s="77" t="s">
        <v>915</v>
      </c>
      <c r="B39" s="142"/>
      <c r="C39" s="91">
        <f t="shared" ref="C39:H39" si="7">C18+C28+C37</f>
        <v>-52616216.900000066</v>
      </c>
      <c r="D39" s="47">
        <f t="shared" si="7"/>
        <v>-31693513.640000038</v>
      </c>
      <c r="E39" s="46">
        <f t="shared" si="7"/>
        <v>-39930962.899999909</v>
      </c>
      <c r="F39" s="46">
        <f t="shared" si="7"/>
        <v>-42530441.809999987</v>
      </c>
      <c r="G39" s="46">
        <f t="shared" si="7"/>
        <v>-51953552.74000001</v>
      </c>
      <c r="H39" s="46">
        <f t="shared" si="7"/>
        <v>-39930962.900000028</v>
      </c>
      <c r="I39" s="277"/>
      <c r="J39" s="277"/>
      <c r="K39" s="159">
        <f>K18+K28+K37</f>
        <v>-31693513.640000038</v>
      </c>
    </row>
    <row r="40" spans="1:11" ht="12.75" customHeight="1" x14ac:dyDescent="0.25">
      <c r="A40" s="36" t="s">
        <v>510</v>
      </c>
      <c r="B40" s="142"/>
      <c r="C40" s="526">
        <v>182578149.53</v>
      </c>
      <c r="D40" s="328">
        <v>160030500</v>
      </c>
      <c r="E40" s="329">
        <v>150450738.5</v>
      </c>
      <c r="F40" s="232"/>
      <c r="G40" s="329">
        <v>150450738.5</v>
      </c>
      <c r="H40" s="41">
        <f>IF(E40=0, D40, E40)</f>
        <v>150450738.5</v>
      </c>
      <c r="I40" s="232"/>
      <c r="J40" s="232"/>
      <c r="K40" s="119">
        <f>G40</f>
        <v>150450738.5</v>
      </c>
    </row>
    <row r="41" spans="1:11" ht="12.75" customHeight="1" x14ac:dyDescent="0.25">
      <c r="A41" s="106" t="s">
        <v>54</v>
      </c>
      <c r="B41" s="97"/>
      <c r="C41" s="189">
        <f>C39+C40</f>
        <v>129961932.62999994</v>
      </c>
      <c r="D41" s="96">
        <f>D39+D40</f>
        <v>128336986.35999995</v>
      </c>
      <c r="E41" s="95">
        <f>E39+E40</f>
        <v>110519775.60000008</v>
      </c>
      <c r="F41" s="233"/>
      <c r="G41" s="95">
        <f>G39+G40</f>
        <v>98497185.75999999</v>
      </c>
      <c r="H41" s="95">
        <f>H39+H40</f>
        <v>110519775.59999996</v>
      </c>
      <c r="I41" s="233"/>
      <c r="J41" s="233"/>
      <c r="K41" s="156">
        <f>K39+K40</f>
        <v>118757224.85999995</v>
      </c>
    </row>
    <row r="42" spans="1:11" ht="11.25" customHeight="1" x14ac:dyDescent="0.25">
      <c r="A42" s="53" t="s">
        <v>657</v>
      </c>
      <c r="C42" s="55"/>
      <c r="D42" s="55"/>
      <c r="E42" s="55"/>
      <c r="F42" s="55"/>
      <c r="G42" s="55"/>
      <c r="H42" s="55"/>
      <c r="I42" s="55"/>
      <c r="J42" s="55"/>
      <c r="K42" s="55"/>
    </row>
    <row r="43" spans="1:11" ht="11.25" customHeight="1" x14ac:dyDescent="0.25">
      <c r="A43" s="72" t="s">
        <v>149</v>
      </c>
      <c r="C43" s="55"/>
      <c r="D43" s="55"/>
      <c r="E43" s="55"/>
      <c r="F43" s="55"/>
      <c r="G43" s="55"/>
      <c r="H43" s="55"/>
      <c r="I43" s="55"/>
      <c r="J43" s="55"/>
      <c r="K43" s="55"/>
    </row>
  </sheetData>
  <sheetProtection password="C646" sheet="1" objects="1" scenarios="1"/>
  <mergeCells count="3">
    <mergeCell ref="A2:A3"/>
    <mergeCell ref="B2:B3"/>
    <mergeCell ref="A1:K1"/>
  </mergeCells>
  <phoneticPr fontId="3" type="noConversion"/>
  <printOptions horizontalCentered="1"/>
  <pageMargins left="0.19685039370078741" right="0.19685039370078741" top="0.59055118110236215" bottom="0.59055118110236215" header="0.51181102362204722" footer="0.39370078740157483"/>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6">
    <tabColor indexed="42"/>
    <pageSetUpPr fitToPage="1"/>
  </sheetPr>
  <dimension ref="A1:F44"/>
  <sheetViews>
    <sheetView showGridLines="0" view="pageBreakPreview" zoomScale="110" zoomScaleNormal="100" zoomScaleSheetLayoutView="110" workbookViewId="0">
      <pane ySplit="4" topLeftCell="A5" activePane="bottomLeft" state="frozen"/>
      <selection pane="bottomLeft" activeCell="D13" sqref="D13"/>
    </sheetView>
  </sheetViews>
  <sheetFormatPr defaultColWidth="9.140625" defaultRowHeight="12.75" x14ac:dyDescent="0.25"/>
  <cols>
    <col min="1" max="1" width="4" style="675" customWidth="1"/>
    <col min="2" max="2" width="31.7109375" style="658" customWidth="1"/>
    <col min="3" max="3" width="7.7109375" style="658" customWidth="1"/>
    <col min="4" max="4" width="72.7109375" style="658" customWidth="1"/>
    <col min="5" max="5" width="11.7109375" style="658" customWidth="1"/>
    <col min="6" max="16384" width="9.140625" style="658"/>
  </cols>
  <sheetData>
    <row r="1" spans="1:5" ht="18" customHeight="1" x14ac:dyDescent="0.25">
      <c r="A1" s="991" t="str">
        <f>muni&amp; " - "&amp;S71G&amp; " - "&amp;date</f>
        <v>WC025 Breede Valley - Supporting Table SC1 Material variance explanations  - Q4 Fourth Quarter</v>
      </c>
      <c r="B1" s="992"/>
      <c r="C1" s="992"/>
      <c r="D1" s="992"/>
      <c r="E1" s="993"/>
    </row>
    <row r="2" spans="1:5" ht="10.15" customHeight="1" x14ac:dyDescent="0.25">
      <c r="A2" s="1004" t="str">
        <f>head27</f>
        <v>Ref</v>
      </c>
      <c r="B2" s="1006" t="str">
        <f>desc</f>
        <v>Description</v>
      </c>
      <c r="C2" s="840"/>
      <c r="D2" s="840"/>
      <c r="E2" s="841"/>
    </row>
    <row r="3" spans="1:5" ht="10.15" customHeight="1" x14ac:dyDescent="0.25">
      <c r="A3" s="1005"/>
      <c r="B3" s="1007"/>
      <c r="C3" s="819" t="s">
        <v>444</v>
      </c>
      <c r="D3" s="819" t="s">
        <v>502</v>
      </c>
      <c r="E3" s="842" t="s">
        <v>503</v>
      </c>
    </row>
    <row r="4" spans="1:5" ht="14.45" customHeight="1" x14ac:dyDescent="0.25">
      <c r="A4" s="659"/>
      <c r="B4" s="843" t="s">
        <v>678</v>
      </c>
      <c r="C4" s="659"/>
      <c r="D4" s="660"/>
      <c r="E4" s="661"/>
    </row>
    <row r="5" spans="1:5" ht="18" customHeight="1" x14ac:dyDescent="0.25">
      <c r="A5" s="662">
        <v>1</v>
      </c>
      <c r="B5" s="663" t="str">
        <f>'[6]C4-FinPerf RE'!A5</f>
        <v>Revenue By Source</v>
      </c>
      <c r="C5" s="664"/>
      <c r="D5" s="664"/>
      <c r="E5" s="665"/>
    </row>
    <row r="6" spans="1:5" ht="51.75" x14ac:dyDescent="0.25">
      <c r="A6" s="666"/>
      <c r="B6" s="655" t="s">
        <v>842</v>
      </c>
      <c r="C6" s="656">
        <f>VLOOKUP(B6,'C4-FinPerf RE'!$1:$1048576,10,FALSE)</f>
        <v>-9.3524528979671465E-2</v>
      </c>
      <c r="D6" s="655" t="s">
        <v>1613</v>
      </c>
      <c r="E6" s="657"/>
    </row>
    <row r="7" spans="1:5" ht="13.5" x14ac:dyDescent="0.25">
      <c r="A7" s="666"/>
      <c r="B7" s="655" t="s">
        <v>978</v>
      </c>
      <c r="C7" s="656">
        <f>VLOOKUP(B7,'C4-FinPerf RE'!$1:$1048576,10,FALSE)</f>
        <v>0.11349400171234246</v>
      </c>
      <c r="D7" s="655" t="s">
        <v>1614</v>
      </c>
      <c r="E7" s="657"/>
    </row>
    <row r="8" spans="1:5" ht="27.75" customHeight="1" x14ac:dyDescent="0.25">
      <c r="A8" s="666"/>
      <c r="B8" s="655" t="s">
        <v>849</v>
      </c>
      <c r="C8" s="656">
        <f>VLOOKUP(B8,'C4-FinPerf RE'!$1:$1048576,10,FALSE)</f>
        <v>-0.24774841053464944</v>
      </c>
      <c r="D8" s="655" t="s">
        <v>1599</v>
      </c>
      <c r="E8" s="657"/>
    </row>
    <row r="9" spans="1:5" ht="13.5" x14ac:dyDescent="0.25">
      <c r="A9" s="666"/>
      <c r="B9" s="655" t="s">
        <v>850</v>
      </c>
      <c r="C9" s="656">
        <f>VLOOKUP(B9,'C4-FinPerf RE'!$1:$1048576,10,FALSE)</f>
        <v>-0.13821370115076823</v>
      </c>
      <c r="D9" s="655" t="s">
        <v>1581</v>
      </c>
      <c r="E9" s="657"/>
    </row>
    <row r="10" spans="1:5" ht="13.5" x14ac:dyDescent="0.25">
      <c r="A10" s="666"/>
      <c r="B10" s="655" t="s">
        <v>592</v>
      </c>
      <c r="C10" s="656">
        <f>VLOOKUP(B10,'C4-FinPerf RE'!$1:$1048576,10,FALSE)</f>
        <v>7.1500230973553555E-2</v>
      </c>
      <c r="D10" s="655" t="s">
        <v>1582</v>
      </c>
      <c r="E10" s="657"/>
    </row>
    <row r="11" spans="1:5" ht="13.5" x14ac:dyDescent="0.25">
      <c r="A11" s="666"/>
      <c r="B11" s="655" t="s">
        <v>1516</v>
      </c>
      <c r="C11" s="656">
        <f>VLOOKUP(B11,'C4-FinPerf RE'!$1:$1048576,10,FALSE)</f>
        <v>-0.12447797812641828</v>
      </c>
      <c r="D11" s="655" t="s">
        <v>1601</v>
      </c>
      <c r="E11" s="657"/>
    </row>
    <row r="12" spans="1:5" ht="26.25" x14ac:dyDescent="0.25">
      <c r="A12" s="666"/>
      <c r="B12" s="655" t="s">
        <v>1152</v>
      </c>
      <c r="C12" s="656">
        <f>VLOOKUP(B12,'C4-FinPerf RE'!$1:$1048576,10,FALSE)</f>
        <v>-1</v>
      </c>
      <c r="D12" s="859" t="s">
        <v>1583</v>
      </c>
      <c r="E12" s="657"/>
    </row>
    <row r="13" spans="1:5" ht="13.5" x14ac:dyDescent="0.25">
      <c r="A13" s="666"/>
      <c r="B13" s="655" t="s">
        <v>460</v>
      </c>
      <c r="C13" s="656">
        <f>VLOOKUP(B13,'C4-FinPerf RE'!$1:$1048576,10,FALSE)</f>
        <v>-5.3289747274344136E-2</v>
      </c>
      <c r="D13" s="859" t="s">
        <v>1584</v>
      </c>
      <c r="E13" s="657"/>
    </row>
    <row r="14" spans="1:5" ht="13.5" x14ac:dyDescent="0.25">
      <c r="A14" s="666"/>
      <c r="B14" s="655" t="s">
        <v>851</v>
      </c>
      <c r="C14" s="656">
        <f>VLOOKUP(B14,'C4-FinPerf RE'!$1:$1048576,10,FALSE)</f>
        <v>-0.21244405412219519</v>
      </c>
      <c r="D14" s="859" t="s">
        <v>1589</v>
      </c>
      <c r="E14" s="657"/>
    </row>
    <row r="15" spans="1:5" ht="18" customHeight="1" x14ac:dyDescent="0.25">
      <c r="A15" s="666">
        <v>2</v>
      </c>
      <c r="B15" s="667" t="str">
        <f>'[6]C4-FinPerf RE'!A24</f>
        <v>Expenditure By Type</v>
      </c>
      <c r="C15" s="676"/>
      <c r="D15" s="668"/>
      <c r="E15" s="669"/>
    </row>
    <row r="16" spans="1:5" ht="13.5" x14ac:dyDescent="0.25">
      <c r="A16" s="666"/>
      <c r="B16" s="655" t="s">
        <v>622</v>
      </c>
      <c r="C16" s="656">
        <f>VLOOKUP(B16,'C4-FinPerf RE'!$1:$1048576,10,FALSE)</f>
        <v>-0.24699509138318892</v>
      </c>
      <c r="D16" s="655" t="s">
        <v>1607</v>
      </c>
      <c r="E16" s="657"/>
    </row>
    <row r="17" spans="1:5" ht="13.5" x14ac:dyDescent="0.25">
      <c r="A17" s="666"/>
      <c r="B17" s="655" t="s">
        <v>459</v>
      </c>
      <c r="C17" s="656">
        <f>VLOOKUP(B17,'C4-FinPerf RE'!$1:$1048576,10,FALSE)</f>
        <v>0.44918841803234</v>
      </c>
      <c r="D17" s="655" t="s">
        <v>1602</v>
      </c>
      <c r="E17" s="657"/>
    </row>
    <row r="18" spans="1:5" ht="13.5" x14ac:dyDescent="0.25">
      <c r="A18" s="666"/>
      <c r="B18" s="655" t="s">
        <v>855</v>
      </c>
      <c r="C18" s="656">
        <f>VLOOKUP(B18,'C4-FinPerf RE'!$1:$1048576,10,FALSE)</f>
        <v>-9.5928520304873005E-2</v>
      </c>
      <c r="D18" s="655" t="s">
        <v>1603</v>
      </c>
      <c r="E18" s="657"/>
    </row>
    <row r="19" spans="1:5" ht="26.25" x14ac:dyDescent="0.25">
      <c r="A19" s="666"/>
      <c r="B19" s="655" t="s">
        <v>856</v>
      </c>
      <c r="C19" s="656">
        <f>VLOOKUP(B19,'C4-FinPerf RE'!$1:$1048576,10,FALSE)</f>
        <v>-0.24481441578914956</v>
      </c>
      <c r="D19" s="655" t="s">
        <v>1604</v>
      </c>
      <c r="E19" s="657"/>
    </row>
    <row r="20" spans="1:5" ht="13.5" x14ac:dyDescent="0.25">
      <c r="A20" s="666"/>
      <c r="B20" s="655" t="s">
        <v>1151</v>
      </c>
      <c r="C20" s="656">
        <f>VLOOKUP(B20,'C4-FinPerf RE'!$1:$1048576,10,FALSE)</f>
        <v>-0.74999592738412968</v>
      </c>
      <c r="D20" s="655" t="s">
        <v>1605</v>
      </c>
      <c r="E20" s="657"/>
    </row>
    <row r="21" spans="1:5" ht="13.5" x14ac:dyDescent="0.25">
      <c r="A21" s="666"/>
      <c r="B21" s="655" t="s">
        <v>440</v>
      </c>
      <c r="C21" s="656">
        <f>VLOOKUP(B21,'C4-FinPerf RE'!$1:$1048576,10,FALSE)</f>
        <v>-0.30565445675642788</v>
      </c>
      <c r="D21" s="655" t="s">
        <v>1606</v>
      </c>
      <c r="E21" s="657"/>
    </row>
    <row r="22" spans="1:5" ht="13.5" x14ac:dyDescent="0.25">
      <c r="A22" s="666"/>
      <c r="B22" s="655" t="s">
        <v>590</v>
      </c>
      <c r="C22" s="656">
        <f>VLOOKUP(B22,'C4-FinPerf RE'!$1:$1048576,10,FALSE)</f>
        <v>-0.96701197276531126</v>
      </c>
      <c r="D22" s="655" t="s">
        <v>1590</v>
      </c>
      <c r="E22" s="657"/>
    </row>
    <row r="23" spans="1:5" ht="18" customHeight="1" x14ac:dyDescent="0.25">
      <c r="A23" s="666">
        <v>3</v>
      </c>
      <c r="B23" s="667" t="str">
        <f>RIGHT('[6]C5-Capex'!A40,19)</f>
        <v>Capital Expenditure</v>
      </c>
      <c r="C23" s="676"/>
      <c r="D23" s="668"/>
      <c r="E23" s="669"/>
    </row>
    <row r="24" spans="1:5" ht="13.5" x14ac:dyDescent="0.25">
      <c r="A24" s="666"/>
      <c r="B24" s="655" t="s">
        <v>772</v>
      </c>
      <c r="C24" s="656">
        <f>'C5-Capex'!J74</f>
        <v>-0.14519035680577355</v>
      </c>
      <c r="D24" s="655" t="s">
        <v>1608</v>
      </c>
      <c r="E24" s="657"/>
    </row>
    <row r="25" spans="1:5" ht="19.899999999999999" hidden="1" customHeight="1" x14ac:dyDescent="0.25">
      <c r="A25" s="666"/>
      <c r="B25" s="657"/>
      <c r="C25" s="670"/>
      <c r="D25" s="657"/>
      <c r="E25" s="657"/>
    </row>
    <row r="26" spans="1:5" ht="19.899999999999999" hidden="1" customHeight="1" x14ac:dyDescent="0.25">
      <c r="A26" s="666"/>
      <c r="B26" s="657"/>
      <c r="C26" s="670"/>
      <c r="D26" s="657"/>
      <c r="E26" s="657"/>
    </row>
    <row r="27" spans="1:5" ht="13.5" hidden="1" x14ac:dyDescent="0.25">
      <c r="A27" s="666"/>
      <c r="B27" s="657"/>
      <c r="C27" s="670"/>
      <c r="D27" s="657"/>
      <c r="E27" s="657"/>
    </row>
    <row r="28" spans="1:5" ht="18" customHeight="1" x14ac:dyDescent="0.25">
      <c r="A28" s="666">
        <v>4</v>
      </c>
      <c r="B28" s="667" t="s">
        <v>83</v>
      </c>
      <c r="C28" s="676"/>
      <c r="D28" s="668"/>
      <c r="E28" s="669"/>
    </row>
    <row r="29" spans="1:5" ht="13.5" x14ac:dyDescent="0.25">
      <c r="A29" s="666"/>
      <c r="B29" s="657" t="s">
        <v>1565</v>
      </c>
      <c r="C29" s="670"/>
      <c r="D29" s="657"/>
      <c r="E29" s="657"/>
    </row>
    <row r="30" spans="1:5" ht="18" customHeight="1" x14ac:dyDescent="0.25">
      <c r="A30" s="666">
        <v>5</v>
      </c>
      <c r="B30" s="667" t="s">
        <v>84</v>
      </c>
      <c r="C30" s="676"/>
      <c r="D30" s="668"/>
      <c r="E30" s="669"/>
    </row>
    <row r="31" spans="1:5" ht="26.25" x14ac:dyDescent="0.25">
      <c r="A31" s="666"/>
      <c r="B31" s="907" t="s">
        <v>946</v>
      </c>
      <c r="C31" s="912">
        <v>-0.16</v>
      </c>
      <c r="D31" s="657" t="s">
        <v>1597</v>
      </c>
      <c r="E31" s="657"/>
    </row>
    <row r="32" spans="1:5" ht="26.25" x14ac:dyDescent="0.25">
      <c r="A32" s="666"/>
      <c r="B32" s="907" t="s">
        <v>1595</v>
      </c>
      <c r="C32" s="912">
        <v>2.41</v>
      </c>
      <c r="D32" s="657" t="s">
        <v>1596</v>
      </c>
      <c r="E32" s="657"/>
    </row>
    <row r="33" spans="1:6" ht="51.75" x14ac:dyDescent="0.25">
      <c r="A33" s="666"/>
      <c r="B33" s="906" t="s">
        <v>708</v>
      </c>
      <c r="C33" s="912">
        <v>-0.24</v>
      </c>
      <c r="D33" s="657" t="s">
        <v>1600</v>
      </c>
      <c r="E33" s="657"/>
    </row>
    <row r="34" spans="1:6" ht="13.5" x14ac:dyDescent="0.25">
      <c r="A34" s="666"/>
      <c r="B34" s="906" t="s">
        <v>1611</v>
      </c>
      <c r="C34" s="912">
        <v>-0.18</v>
      </c>
      <c r="D34" s="657"/>
      <c r="E34" s="657"/>
    </row>
    <row r="35" spans="1:6" ht="13.5" x14ac:dyDescent="0.25">
      <c r="A35" s="666"/>
      <c r="B35" s="907" t="s">
        <v>896</v>
      </c>
      <c r="C35" s="912">
        <v>-0.08</v>
      </c>
      <c r="D35" s="657" t="s">
        <v>1609</v>
      </c>
      <c r="E35" s="657"/>
    </row>
    <row r="36" spans="1:6" ht="26.25" x14ac:dyDescent="0.25">
      <c r="A36" s="666"/>
      <c r="B36" s="907" t="s">
        <v>69</v>
      </c>
      <c r="C36" s="912">
        <v>0.75</v>
      </c>
      <c r="D36" s="655" t="s">
        <v>1610</v>
      </c>
      <c r="E36" s="657"/>
    </row>
    <row r="37" spans="1:6" ht="26.25" x14ac:dyDescent="0.25">
      <c r="A37" s="666"/>
      <c r="B37" s="907" t="s">
        <v>710</v>
      </c>
      <c r="C37" s="912">
        <v>0.23</v>
      </c>
      <c r="D37" s="657" t="s">
        <v>1612</v>
      </c>
      <c r="E37" s="657"/>
    </row>
    <row r="38" spans="1:6" ht="19.899999999999999" customHeight="1" x14ac:dyDescent="0.25">
      <c r="A38" s="671"/>
      <c r="B38" s="672"/>
      <c r="C38" s="673"/>
      <c r="D38" s="672"/>
      <c r="E38" s="674"/>
    </row>
    <row r="39" spans="1:6" s="22" customFormat="1" ht="11.25" customHeight="1" x14ac:dyDescent="0.25">
      <c r="A39" s="19" t="s">
        <v>865</v>
      </c>
      <c r="F39" s="658"/>
    </row>
    <row r="40" spans="1:6" s="22" customFormat="1" ht="11.25" customHeight="1" x14ac:dyDescent="0.25">
      <c r="A40" s="19" t="s">
        <v>866</v>
      </c>
    </row>
    <row r="41" spans="1:6" s="22" customFormat="1" ht="11.25" customHeight="1" x14ac:dyDescent="0.25">
      <c r="A41" s="19" t="s">
        <v>867</v>
      </c>
    </row>
    <row r="42" spans="1:6" s="22" customFormat="1" ht="11.25" customHeight="1" x14ac:dyDescent="0.25">
      <c r="A42" s="19" t="s">
        <v>868</v>
      </c>
    </row>
    <row r="43" spans="1:6" s="22" customFormat="1" ht="11.25" customHeight="1" x14ac:dyDescent="0.25">
      <c r="A43" s="19" t="s">
        <v>445</v>
      </c>
    </row>
    <row r="44" spans="1:6" x14ac:dyDescent="0.25">
      <c r="F44" s="22"/>
    </row>
  </sheetData>
  <mergeCells count="3">
    <mergeCell ref="A2:A3"/>
    <mergeCell ref="B2:B3"/>
    <mergeCell ref="A1:E1"/>
  </mergeCells>
  <phoneticPr fontId="3" type="noConversion"/>
  <printOptions horizontalCentered="1"/>
  <pageMargins left="0.19685039370078741" right="0.19685039370078741" top="0.39370078740157483" bottom="0.39370078740157483" header="0.51181102362204722" footer="0.51181102362204722"/>
  <pageSetup paperSize="9" scale="80" orientation="portrait" r:id="rId1"/>
  <headerFooter alignWithMargins="0"/>
  <ignoredErrors>
    <ignoredError sqref="C24 C16 C11:C14 C6:C9 C10 C17:C18 C19:C22"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7">
    <tabColor indexed="42"/>
    <pageSetUpPr fitToPage="1"/>
  </sheetPr>
  <dimension ref="A1:K66"/>
  <sheetViews>
    <sheetView showGridLines="0" view="pageBreakPreview" zoomScaleNormal="100" zoomScaleSheetLayoutView="100" workbookViewId="0">
      <pane ySplit="4" topLeftCell="A18" activePane="bottomLeft" state="frozen"/>
      <selection pane="bottomLeft" activeCell="K25" sqref="K25"/>
    </sheetView>
  </sheetViews>
  <sheetFormatPr defaultColWidth="9.140625" defaultRowHeight="11.25" customHeight="1" x14ac:dyDescent="0.25"/>
  <cols>
    <col min="1" max="2" width="30.7109375" style="22" customWidth="1"/>
    <col min="3" max="3" width="3.140625" style="22" customWidth="1"/>
    <col min="4" max="8" width="8.7109375" style="22" customWidth="1"/>
    <col min="9" max="16384" width="9.140625" style="22"/>
  </cols>
  <sheetData>
    <row r="1" spans="1:11" ht="18.600000000000001" customHeight="1" x14ac:dyDescent="0.25">
      <c r="A1" s="991" t="str">
        <f>muni&amp; " - "&amp;S71H&amp; " - "&amp;Head57</f>
        <v>WC025 Breede Valley - Supporting Table SC2 Monthly Budget Statement - performance indicators   - Q4 Fourth Quarter</v>
      </c>
      <c r="B1" s="992"/>
      <c r="C1" s="992"/>
      <c r="D1" s="992"/>
      <c r="E1" s="992"/>
      <c r="F1" s="992"/>
      <c r="G1" s="992"/>
      <c r="H1" s="993"/>
    </row>
    <row r="2" spans="1:11" ht="12.75" x14ac:dyDescent="0.25">
      <c r="A2" s="1008" t="s">
        <v>565</v>
      </c>
      <c r="B2" s="980" t="s">
        <v>783</v>
      </c>
      <c r="C2" s="973" t="str">
        <f>head27</f>
        <v>Ref</v>
      </c>
      <c r="D2" s="115" t="str">
        <f>Head1</f>
        <v>2017/18</v>
      </c>
      <c r="E2" s="208" t="str">
        <f>Head2</f>
        <v>Budget Year 2018/19</v>
      </c>
      <c r="F2" s="192"/>
      <c r="G2" s="192"/>
      <c r="H2" s="193"/>
    </row>
    <row r="3" spans="1:11" ht="25.5" x14ac:dyDescent="0.25">
      <c r="A3" s="1009"/>
      <c r="B3" s="981"/>
      <c r="C3" s="987"/>
      <c r="D3" s="276" t="str">
        <f>Head5</f>
        <v>Audited Outcome</v>
      </c>
      <c r="E3" s="164" t="str">
        <f>Head6</f>
        <v>Original Budget</v>
      </c>
      <c r="F3" s="116" t="str">
        <f>Head7</f>
        <v>Adjusted Budget</v>
      </c>
      <c r="G3" s="116" t="str">
        <f>Head39</f>
        <v>YearTD actual</v>
      </c>
      <c r="H3" s="137" t="str">
        <f>Head8</f>
        <v>Full Year Forecast</v>
      </c>
    </row>
    <row r="4" spans="1:11" ht="11.25" customHeight="1" x14ac:dyDescent="0.25">
      <c r="A4" s="31"/>
      <c r="B4" s="31"/>
      <c r="C4" s="97"/>
      <c r="D4" s="153"/>
      <c r="E4" s="203"/>
      <c r="F4" s="204"/>
      <c r="G4" s="74"/>
      <c r="H4" s="187"/>
    </row>
    <row r="5" spans="1:11" ht="12.75" customHeight="1" x14ac:dyDescent="0.25">
      <c r="A5" s="99" t="s">
        <v>522</v>
      </c>
      <c r="B5" s="108"/>
      <c r="C5" s="107"/>
      <c r="D5" s="330"/>
      <c r="E5" s="867"/>
      <c r="F5" s="236"/>
      <c r="G5" s="236"/>
      <c r="H5" s="237"/>
    </row>
    <row r="6" spans="1:11" ht="3.75" customHeight="1" x14ac:dyDescent="0.25">
      <c r="A6" s="103"/>
      <c r="B6" s="100"/>
      <c r="C6" s="145"/>
      <c r="D6" s="98"/>
      <c r="E6" s="868"/>
      <c r="F6" s="101"/>
      <c r="G6" s="101"/>
      <c r="H6" s="234"/>
      <c r="K6" s="84"/>
    </row>
    <row r="7" spans="1:11" ht="19.5" customHeight="1" x14ac:dyDescent="0.25">
      <c r="A7" s="103" t="s">
        <v>830</v>
      </c>
      <c r="B7" s="100" t="s">
        <v>86</v>
      </c>
      <c r="C7" s="145"/>
      <c r="D7" s="98">
        <f>IF(ISERROR((D42-D43)/D45),0,((D42-D43)/D45))</f>
        <v>9.234790375075061E-3</v>
      </c>
      <c r="E7" s="868">
        <f>IF(ISERROR((E42+E44)/E45),0,((E42+E44)/E45))</f>
        <v>0.10956717847010131</v>
      </c>
      <c r="F7" s="101">
        <f>IF(ISERROR((F42+F44)/F45),0,((F42+F44)/F45))</f>
        <v>0.10982556210486041</v>
      </c>
      <c r="G7" s="101">
        <f>IF(ISERROR((G42+G44)/G45),0,((G42+G44)/G45))</f>
        <v>3.9611537843054073E-2</v>
      </c>
      <c r="H7" s="234">
        <f>IF(ISERROR((H42+H44)/H45),0,((H42+H44)/H45))</f>
        <v>4.2255136680489143E-2</v>
      </c>
    </row>
    <row r="8" spans="1:11" ht="30" customHeight="1" x14ac:dyDescent="0.25">
      <c r="A8" s="103" t="s">
        <v>1071</v>
      </c>
      <c r="B8" s="100" t="s">
        <v>66</v>
      </c>
      <c r="C8" s="145"/>
      <c r="D8" s="98">
        <f>IF(ISERROR(D47/D46),0,(D47/D46))</f>
        <v>0.10608462809151398</v>
      </c>
      <c r="E8" s="868">
        <f>IF(ISERROR(E47/E46),0,(E47/E46))</f>
        <v>0</v>
      </c>
      <c r="F8" s="101">
        <f>IF(ISERROR(F47/F46),0,(F47/F46))</f>
        <v>2.3648399665815282E-2</v>
      </c>
      <c r="G8" s="101">
        <f>IF(ISERROR(G47/G46),0,(G47/G46))</f>
        <v>2.8437980735376372E-2</v>
      </c>
      <c r="H8" s="234">
        <f>IF(ISERROR(H47/H46),0,(H47/H46))</f>
        <v>2.3648399665815282E-2</v>
      </c>
      <c r="J8" s="289"/>
    </row>
    <row r="9" spans="1:11" ht="12.75" customHeight="1" x14ac:dyDescent="0.25">
      <c r="A9" s="104" t="s">
        <v>749</v>
      </c>
      <c r="B9" s="100"/>
      <c r="C9" s="145"/>
      <c r="D9" s="98"/>
      <c r="E9" s="868"/>
      <c r="F9" s="101"/>
      <c r="G9" s="101"/>
      <c r="H9" s="234"/>
    </row>
    <row r="10" spans="1:11" ht="25.5" x14ac:dyDescent="0.25">
      <c r="A10" s="103" t="s">
        <v>7</v>
      </c>
      <c r="B10" s="100" t="s">
        <v>975</v>
      </c>
      <c r="C10" s="145"/>
      <c r="D10" s="98">
        <f>IF(ISERROR(D48/D49),0,(D48/D49))</f>
        <v>0.19087798334936731</v>
      </c>
      <c r="E10" s="868">
        <f>IF(ISERROR(E48/E49),0,(E48/E49))</f>
        <v>0.13738373292186315</v>
      </c>
      <c r="F10" s="101">
        <f>IF(ISERROR(F48/F49),0,(F48/F49))</f>
        <v>0.13738373292186315</v>
      </c>
      <c r="G10" s="101">
        <f>IF(ISERROR(G48/G49),0,(G48/G49))</f>
        <v>0.18188096826237418</v>
      </c>
      <c r="H10" s="234">
        <f>IF(ISERROR(H48/H49),0,(H48/H49))</f>
        <v>0.13738373292186315</v>
      </c>
    </row>
    <row r="11" spans="1:11" ht="12.75" customHeight="1" x14ac:dyDescent="0.25">
      <c r="A11" s="103" t="s">
        <v>748</v>
      </c>
      <c r="B11" s="100" t="s">
        <v>732</v>
      </c>
      <c r="C11" s="145"/>
      <c r="D11" s="98">
        <f>IF(ISERROR(D51/D50),0,(D51/D50))</f>
        <v>0</v>
      </c>
      <c r="E11" s="868">
        <f>IF(ISERROR(E51/E50),0,(E51/E50))</f>
        <v>55.581025896056623</v>
      </c>
      <c r="F11" s="101">
        <f>IF(ISERROR(F51/F50),0,(F51/F50))</f>
        <v>55.581025896056623</v>
      </c>
      <c r="G11" s="101">
        <f>IF(ISERROR(G51/G50),0,(G51/G50))</f>
        <v>0</v>
      </c>
      <c r="H11" s="234">
        <f>IF(ISERROR(H51/H50),0,(H51/H50))</f>
        <v>55.581025896056623</v>
      </c>
    </row>
    <row r="12" spans="1:11" ht="12.75" customHeight="1" x14ac:dyDescent="0.25">
      <c r="A12" s="104" t="s">
        <v>750</v>
      </c>
      <c r="B12" s="100"/>
      <c r="C12" s="145"/>
      <c r="D12" s="98"/>
      <c r="E12" s="868"/>
      <c r="F12" s="101"/>
      <c r="G12" s="101"/>
      <c r="H12" s="234"/>
    </row>
    <row r="13" spans="1:11" ht="12.75" customHeight="1" x14ac:dyDescent="0.25">
      <c r="A13" s="103" t="s">
        <v>1072</v>
      </c>
      <c r="B13" s="100" t="s">
        <v>547</v>
      </c>
      <c r="C13" s="142">
        <v>1</v>
      </c>
      <c r="D13" s="98">
        <f>IF(ISERROR(D52/D53),0,(D52/D53))</f>
        <v>1.7781579340784635</v>
      </c>
      <c r="E13" s="868">
        <f>IF(ISERROR(E52/E53),0,(E52/E53))</f>
        <v>2.2585188991802654</v>
      </c>
      <c r="F13" s="101">
        <f>IF(ISERROR(F52/F53),0,(F52/F53))</f>
        <v>2.2585188991802654</v>
      </c>
      <c r="G13" s="101">
        <f>IF(ISERROR(G52/G53),0,(G52/G53))</f>
        <v>1.7527323882965897</v>
      </c>
      <c r="H13" s="234">
        <f>IF(ISERROR(H52/H53),0,(H52/H53))</f>
        <v>2.2585188991802654</v>
      </c>
    </row>
    <row r="14" spans="1:11" ht="12.75" customHeight="1" x14ac:dyDescent="0.25">
      <c r="A14" s="103" t="s">
        <v>751</v>
      </c>
      <c r="B14" s="100" t="s">
        <v>442</v>
      </c>
      <c r="C14" s="145"/>
      <c r="D14" s="98">
        <f>IF(ISERROR(D54/D53),0,(D54/D53))</f>
        <v>0.87687720527668322</v>
      </c>
      <c r="E14" s="868">
        <f>IF(ISERROR(E54/E53),0,(E54/E53))</f>
        <v>1.1553539723575832</v>
      </c>
      <c r="F14" s="101">
        <f>IF(ISERROR(F54/F53),0,(F54/F53))</f>
        <v>1.1553539723575832</v>
      </c>
      <c r="G14" s="101">
        <f>IF(ISERROR(G54/G53),0,(G54/G53))</f>
        <v>0.55698442376253443</v>
      </c>
      <c r="H14" s="234">
        <f>IF(ISERROR(H54/H53),0,(H54/H53))</f>
        <v>1.1553539723575832</v>
      </c>
    </row>
    <row r="15" spans="1:11" ht="12.75" customHeight="1" x14ac:dyDescent="0.25">
      <c r="A15" s="104" t="s">
        <v>443</v>
      </c>
      <c r="B15" s="100"/>
      <c r="C15" s="145"/>
      <c r="D15" s="98"/>
      <c r="E15" s="868"/>
      <c r="F15" s="101"/>
      <c r="G15" s="101"/>
      <c r="H15" s="234"/>
    </row>
    <row r="16" spans="1:11" ht="25.5" x14ac:dyDescent="0.25">
      <c r="A16" s="103" t="s">
        <v>505</v>
      </c>
      <c r="B16" s="100" t="s">
        <v>473</v>
      </c>
      <c r="C16" s="145"/>
      <c r="D16" s="98"/>
      <c r="E16" s="868"/>
      <c r="F16" s="101"/>
      <c r="G16" s="101"/>
      <c r="H16" s="234"/>
    </row>
    <row r="17" spans="1:8" ht="12.75" customHeight="1" x14ac:dyDescent="0.25">
      <c r="A17" s="103" t="s">
        <v>474</v>
      </c>
      <c r="B17" s="100" t="s">
        <v>651</v>
      </c>
      <c r="C17" s="145"/>
      <c r="D17" s="98">
        <f>IF(ISERROR(D59/D55),0,(D59/D55))</f>
        <v>0.12985552394100774</v>
      </c>
      <c r="E17" s="868">
        <f>IF(ISERROR(E59/E55),0,(E59/E55))</f>
        <v>0.10931795205710594</v>
      </c>
      <c r="F17" s="101">
        <f>IF(ISERROR(F59/F55),0,(F59/F55))</f>
        <v>0.10644717636615279</v>
      </c>
      <c r="G17" s="101">
        <f>IF(ISERROR(G59/G55),0,(G59/G55))</f>
        <v>0.20204950433637364</v>
      </c>
      <c r="H17" s="234">
        <f>IF(ISERROR(H59/H55),0,(H59/H55))</f>
        <v>0.10644717636615279</v>
      </c>
    </row>
    <row r="18" spans="1:8" ht="25.5" x14ac:dyDescent="0.25">
      <c r="A18" s="103" t="s">
        <v>1073</v>
      </c>
      <c r="B18" s="100" t="s">
        <v>506</v>
      </c>
      <c r="C18" s="145"/>
      <c r="D18" s="98">
        <f>IF(ISERROR(D64/D63),0,(D64/D63))</f>
        <v>0</v>
      </c>
      <c r="E18" s="868">
        <f>IF(ISERROR(E64/E63),0,(E64/E63))</f>
        <v>0</v>
      </c>
      <c r="F18" s="101">
        <f>IF(ISERROR(F64/F63),0,(F64/F63))</f>
        <v>0</v>
      </c>
      <c r="G18" s="101">
        <f>IF(ISERROR(G64/G63),0,(G64/G63))</f>
        <v>0</v>
      </c>
      <c r="H18" s="234">
        <f>IF(ISERROR(H64/H63),0,(H64/H63))</f>
        <v>0</v>
      </c>
    </row>
    <row r="19" spans="1:8" ht="12.75" customHeight="1" x14ac:dyDescent="0.25">
      <c r="A19" s="104" t="s">
        <v>8</v>
      </c>
      <c r="B19" s="100"/>
      <c r="C19" s="145"/>
      <c r="D19" s="98"/>
      <c r="E19" s="868"/>
      <c r="F19" s="101"/>
      <c r="G19" s="101"/>
      <c r="H19" s="234"/>
    </row>
    <row r="20" spans="1:8" ht="25.5" x14ac:dyDescent="0.25">
      <c r="A20" s="103" t="s">
        <v>9</v>
      </c>
      <c r="B20" s="100" t="s">
        <v>802</v>
      </c>
      <c r="C20" s="145"/>
      <c r="D20" s="865">
        <v>0.99</v>
      </c>
      <c r="E20" s="869">
        <v>0.99</v>
      </c>
      <c r="F20" s="536">
        <v>0.99</v>
      </c>
      <c r="G20" s="536">
        <v>0.99</v>
      </c>
      <c r="H20" s="863">
        <v>0.99</v>
      </c>
    </row>
    <row r="21" spans="1:8" ht="12.75" customHeight="1" x14ac:dyDescent="0.25">
      <c r="A21" s="104" t="s">
        <v>518</v>
      </c>
      <c r="B21" s="100"/>
      <c r="C21" s="145"/>
      <c r="D21" s="98"/>
      <c r="E21" s="868"/>
      <c r="F21" s="101"/>
      <c r="G21" s="101"/>
      <c r="H21" s="234"/>
    </row>
    <row r="22" spans="1:8" ht="12.75" customHeight="1" x14ac:dyDescent="0.25">
      <c r="A22" s="103" t="s">
        <v>519</v>
      </c>
      <c r="B22" s="100" t="s">
        <v>520</v>
      </c>
      <c r="C22" s="145"/>
      <c r="D22" s="98"/>
      <c r="E22" s="868"/>
      <c r="F22" s="101"/>
      <c r="G22" s="101"/>
      <c r="H22" s="234"/>
    </row>
    <row r="23" spans="1:8" ht="12.75" customHeight="1" x14ac:dyDescent="0.25">
      <c r="A23" s="104" t="s">
        <v>521</v>
      </c>
      <c r="B23" s="100"/>
      <c r="C23" s="145"/>
      <c r="D23" s="98"/>
      <c r="E23" s="868"/>
      <c r="F23" s="101"/>
      <c r="G23" s="101"/>
      <c r="H23" s="234"/>
    </row>
    <row r="24" spans="1:8" ht="27.75" customHeight="1" x14ac:dyDescent="0.25">
      <c r="A24" s="103" t="s">
        <v>508</v>
      </c>
      <c r="B24" s="425" t="s">
        <v>67</v>
      </c>
      <c r="C24" s="214">
        <v>2</v>
      </c>
      <c r="D24" s="865">
        <v>5.7700000000000001E-2</v>
      </c>
      <c r="E24" s="869">
        <v>7.4999999999999997E-2</v>
      </c>
      <c r="F24" s="536">
        <v>7.4999999999999997E-2</v>
      </c>
      <c r="G24" s="536">
        <v>3.4000000000000002E-2</v>
      </c>
      <c r="H24" s="863">
        <v>7.4999999999999997E-2</v>
      </c>
    </row>
    <row r="25" spans="1:8" ht="27.75" customHeight="1" x14ac:dyDescent="0.25">
      <c r="A25" s="103" t="s">
        <v>507</v>
      </c>
      <c r="B25" s="425" t="s">
        <v>68</v>
      </c>
      <c r="C25" s="214">
        <v>2</v>
      </c>
      <c r="D25" s="865">
        <v>0.14199999999999999</v>
      </c>
      <c r="E25" s="869">
        <v>0.16</v>
      </c>
      <c r="F25" s="536">
        <v>0.16</v>
      </c>
      <c r="G25" s="536" t="s">
        <v>1598</v>
      </c>
      <c r="H25" s="863">
        <v>0.16</v>
      </c>
    </row>
    <row r="26" spans="1:8" ht="27.75" customHeight="1" x14ac:dyDescent="0.25">
      <c r="A26" s="103" t="s">
        <v>479</v>
      </c>
      <c r="B26" s="100" t="s">
        <v>768</v>
      </c>
      <c r="C26" s="145"/>
      <c r="D26" s="98">
        <f>IF(ISERROR(D40/D55),0,(D40/D55))</f>
        <v>0.27231813396985199</v>
      </c>
      <c r="E26" s="868">
        <f>IF(ISERROR(E40/E55),0,(E40/E55))</f>
        <v>0.31247102570578039</v>
      </c>
      <c r="F26" s="101">
        <f>IF(ISERROR(F40/F55),0,(F40/F55))</f>
        <v>0.2762347930176054</v>
      </c>
      <c r="G26" s="101">
        <f>IF(ISERROR(G40/G55),0,(G40/G55))</f>
        <v>0.2873945103223145</v>
      </c>
      <c r="H26" s="234">
        <f>IF(ISERROR(H40/H55),0,(H40/H55))</f>
        <v>0.2762347930176054</v>
      </c>
    </row>
    <row r="27" spans="1:8" ht="27.75" customHeight="1" x14ac:dyDescent="0.25">
      <c r="A27" s="103" t="s">
        <v>766</v>
      </c>
      <c r="B27" s="100" t="s">
        <v>769</v>
      </c>
      <c r="C27" s="145"/>
      <c r="D27" s="98">
        <f>IF(ISERROR(D41/D55),0,(D41/D55))</f>
        <v>0</v>
      </c>
      <c r="E27" s="868">
        <f>IF(ISERROR(E41/E55),0,(E41/E55))</f>
        <v>0</v>
      </c>
      <c r="F27" s="101">
        <f>IF(ISERROR(F41/F55),0,(F41/F55))</f>
        <v>0</v>
      </c>
      <c r="G27" s="101">
        <f>IF(ISERROR(G41/G55),0,(G41/G55))</f>
        <v>0</v>
      </c>
      <c r="H27" s="234">
        <f>IF(ISERROR(H41/H55),0,(H41/H55))</f>
        <v>0</v>
      </c>
    </row>
    <row r="28" spans="1:8" ht="27.75" customHeight="1" x14ac:dyDescent="0.25">
      <c r="A28" s="103" t="s">
        <v>767</v>
      </c>
      <c r="B28" s="100" t="s">
        <v>752</v>
      </c>
      <c r="C28" s="145"/>
      <c r="D28" s="98">
        <f>IF(ISERROR((D42+D44)/D55),0,((D42+D44)/D55))</f>
        <v>0.11972388792409637</v>
      </c>
      <c r="E28" s="868">
        <f>IF(ISERROR((E42+E44)/E55),0,((E42+E44)/E55))</f>
        <v>0.11146489918426053</v>
      </c>
      <c r="F28" s="101">
        <f>IF(ISERROR((F42+F44)/F55),0,((F42+F44)/F55))</f>
        <v>0.10853774296745215</v>
      </c>
      <c r="G28" s="101">
        <f>IF(ISERROR((G42+G44)/G55),0,((G42+G44)/G55))</f>
        <v>3.6894822173134841E-2</v>
      </c>
      <c r="H28" s="234">
        <f>IF(ISERROR((H42+H44)/H55),0,((H42+H44)/H55))</f>
        <v>4.1759651179408996E-2</v>
      </c>
    </row>
    <row r="29" spans="1:8" ht="12.75" customHeight="1" x14ac:dyDescent="0.25">
      <c r="A29" s="238" t="s">
        <v>662</v>
      </c>
      <c r="B29" s="105"/>
      <c r="C29" s="239"/>
      <c r="D29" s="98"/>
      <c r="E29" s="868"/>
      <c r="F29" s="101"/>
      <c r="G29" s="101"/>
      <c r="H29" s="234"/>
    </row>
    <row r="30" spans="1:8" ht="27.75" customHeight="1" x14ac:dyDescent="0.25">
      <c r="A30" s="103" t="s">
        <v>663</v>
      </c>
      <c r="B30" s="100" t="s">
        <v>798</v>
      </c>
      <c r="C30" s="145"/>
      <c r="D30" s="865">
        <v>0.22550000000000001</v>
      </c>
      <c r="E30" s="869">
        <v>0.33200000000000002</v>
      </c>
      <c r="F30" s="536">
        <v>0.33200000000000002</v>
      </c>
      <c r="G30" s="536">
        <v>0.252</v>
      </c>
      <c r="H30" s="863">
        <v>0.33200000000000002</v>
      </c>
    </row>
    <row r="31" spans="1:8" ht="25.5" x14ac:dyDescent="0.25">
      <c r="A31" s="103" t="s">
        <v>803</v>
      </c>
      <c r="B31" s="100" t="s">
        <v>496</v>
      </c>
      <c r="C31" s="145"/>
      <c r="D31" s="865">
        <v>0.1376</v>
      </c>
      <c r="E31" s="869">
        <v>0.14000000000000001</v>
      </c>
      <c r="F31" s="536">
        <v>0.14000000000000001</v>
      </c>
      <c r="G31" s="536">
        <v>0.13400000000000001</v>
      </c>
      <c r="H31" s="863">
        <v>0.14000000000000001</v>
      </c>
    </row>
    <row r="32" spans="1:8" ht="25.5" x14ac:dyDescent="0.25">
      <c r="A32" s="235" t="s">
        <v>664</v>
      </c>
      <c r="B32" s="109" t="s">
        <v>452</v>
      </c>
      <c r="C32" s="148"/>
      <c r="D32" s="866">
        <v>8.8000000000000005E-3</v>
      </c>
      <c r="E32" s="870">
        <v>1.7999999999999999E-2</v>
      </c>
      <c r="F32" s="537">
        <v>1.7999999999999999E-2</v>
      </c>
      <c r="G32" s="537">
        <v>1.2E-2</v>
      </c>
      <c r="H32" s="871">
        <v>1.7999999999999999E-2</v>
      </c>
    </row>
    <row r="33" spans="1:8" ht="12.75" customHeight="1" x14ac:dyDescent="0.25">
      <c r="A33" s="680" t="s">
        <v>657</v>
      </c>
      <c r="D33" s="102"/>
      <c r="E33" s="102"/>
      <c r="F33" s="102"/>
      <c r="G33" s="102"/>
      <c r="H33" s="864"/>
    </row>
    <row r="34" spans="1:8" ht="12.75" customHeight="1" x14ac:dyDescent="0.25">
      <c r="A34" s="684" t="s">
        <v>509</v>
      </c>
      <c r="H34" s="151"/>
    </row>
    <row r="35" spans="1:8" ht="12.75" customHeight="1" x14ac:dyDescent="0.25">
      <c r="A35" s="78" t="s">
        <v>909</v>
      </c>
      <c r="H35" s="151"/>
    </row>
    <row r="36" spans="1:8" ht="12.75" customHeight="1" x14ac:dyDescent="0.25">
      <c r="A36" s="39"/>
      <c r="H36" s="151"/>
    </row>
    <row r="37" spans="1:8" ht="12.75" customHeight="1" x14ac:dyDescent="0.25">
      <c r="A37" s="287" t="s">
        <v>532</v>
      </c>
      <c r="B37" s="285"/>
      <c r="C37" s="285"/>
      <c r="D37" s="285"/>
      <c r="E37" s="285"/>
      <c r="F37" s="285"/>
      <c r="G37" s="285"/>
      <c r="H37" s="288"/>
    </row>
    <row r="38" spans="1:8" ht="12.75" customHeight="1" x14ac:dyDescent="0.25">
      <c r="A38" s="39" t="str">
        <f>'C6-FinPos'!A38</f>
        <v>Borrowing</v>
      </c>
      <c r="D38" s="872">
        <f>'C6-FinPos'!C38</f>
        <v>214291004</v>
      </c>
      <c r="E38" s="877">
        <f>'C6-FinPos'!D38</f>
        <v>203881100.30000004</v>
      </c>
      <c r="F38" s="878">
        <f>'C6-FinPos'!E38</f>
        <v>203881100.30000004</v>
      </c>
      <c r="G38" s="878">
        <f>'C6-FinPos'!F38</f>
        <v>203881101</v>
      </c>
      <c r="H38" s="879">
        <v>0</v>
      </c>
    </row>
    <row r="39" spans="1:8" ht="12.75" customHeight="1" x14ac:dyDescent="0.25">
      <c r="A39" s="39" t="s">
        <v>534</v>
      </c>
      <c r="D39" s="37">
        <f>'C6-FinPos'!C26</f>
        <v>2316099191</v>
      </c>
      <c r="E39" s="87">
        <f>'C6-FinPos'!D26</f>
        <v>2582422788.1845331</v>
      </c>
      <c r="F39" s="86">
        <f>'C6-FinPos'!E26</f>
        <v>2582422788.1845331</v>
      </c>
      <c r="G39" s="86">
        <f>'C6-FinPos'!F26</f>
        <v>2507432352</v>
      </c>
      <c r="H39" s="228">
        <f>'C6-FinPos'!G26</f>
        <v>2582422788.1845331</v>
      </c>
    </row>
    <row r="40" spans="1:8" ht="12.75" customHeight="1" x14ac:dyDescent="0.25">
      <c r="A40" s="39" t="str">
        <f>'C4-FinPerf RE'!A25</f>
        <v>Employee related costs</v>
      </c>
      <c r="D40" s="37">
        <f>'C4-FinPerf RE'!C25</f>
        <v>252675350.92999977</v>
      </c>
      <c r="E40" s="87">
        <f>'C4-FinPerf RE'!D25</f>
        <v>310636522.99999994</v>
      </c>
      <c r="F40" s="86">
        <f>'C4-FinPerf RE'!E25</f>
        <v>282019074.99999994</v>
      </c>
      <c r="G40" s="86">
        <f>'C4-FinPerf RE'!G25</f>
        <v>276627197.25</v>
      </c>
      <c r="H40" s="228">
        <f>'C4-FinPerf RE'!K25</f>
        <v>282019074.99999994</v>
      </c>
    </row>
    <row r="41" spans="1:8" ht="12.75" customHeight="1" x14ac:dyDescent="0.25">
      <c r="A41" s="39" t="str">
        <f>A27</f>
        <v>Repairs &amp; Maintenance</v>
      </c>
      <c r="D41" s="873"/>
      <c r="E41" s="880"/>
      <c r="F41" s="881"/>
      <c r="G41" s="881"/>
      <c r="H41" s="882"/>
    </row>
    <row r="42" spans="1:8" ht="12.75" customHeight="1" x14ac:dyDescent="0.25">
      <c r="A42" s="39" t="s">
        <v>535</v>
      </c>
      <c r="D42" s="37">
        <f>'C4-FinPerf RE'!C29</f>
        <v>26038599.569999997</v>
      </c>
      <c r="E42" s="87">
        <f>'C4-FinPerf RE'!D29</f>
        <v>24505128</v>
      </c>
      <c r="F42" s="86">
        <f>'C4-FinPerf RE'!E29</f>
        <v>24505128</v>
      </c>
      <c r="G42" s="86">
        <f>'C4-FinPerf RE'!G29</f>
        <v>35512547.68</v>
      </c>
      <c r="H42" s="228">
        <f>'C4-FinPerf RE'!K29</f>
        <v>24505128</v>
      </c>
    </row>
    <row r="43" spans="1:8" ht="12.75" customHeight="1" x14ac:dyDescent="0.25">
      <c r="A43" s="39" t="s">
        <v>87</v>
      </c>
      <c r="D43" s="37">
        <f>-'C7-CFlow'!C36</f>
        <v>17199997</v>
      </c>
      <c r="E43" s="87">
        <f>-'C7-CFlow'!D36</f>
        <v>7834971.6799999997</v>
      </c>
      <c r="F43" s="86">
        <f>-'C7-CFlow'!E36</f>
        <v>7834971.6799999997</v>
      </c>
      <c r="G43" s="86">
        <f>-'C7-CFlow'!G36</f>
        <v>9427059</v>
      </c>
      <c r="H43" s="228">
        <f>-'C7-CFlow'!K36</f>
        <v>7834971.6799999997</v>
      </c>
    </row>
    <row r="44" spans="1:8" ht="12.75" customHeight="1" x14ac:dyDescent="0.25">
      <c r="A44" s="39" t="s">
        <v>536</v>
      </c>
      <c r="D44" s="37">
        <f>'C4-FinPerf RE'!C28</f>
        <v>85049395.030000061</v>
      </c>
      <c r="E44" s="87">
        <f>'C4-FinPerf RE'!D28</f>
        <v>86305366</v>
      </c>
      <c r="F44" s="86">
        <f>'C4-FinPerf RE'!E28</f>
        <v>86305366</v>
      </c>
      <c r="G44" s="86"/>
      <c r="H44" s="228">
        <f>'C4-FinPerf RE'!K26</f>
        <v>18128959</v>
      </c>
    </row>
    <row r="45" spans="1:8" ht="12.75" customHeight="1" x14ac:dyDescent="0.25">
      <c r="A45" s="39" t="s">
        <v>0</v>
      </c>
      <c r="D45" s="37">
        <f>'C4-FinPerf RE'!C36</f>
        <v>957098343.43999994</v>
      </c>
      <c r="E45" s="87">
        <f>'C4-FinPerf RE'!D36</f>
        <v>1011347518</v>
      </c>
      <c r="F45" s="86">
        <f>'C4-FinPerf RE'!E36</f>
        <v>1008968148</v>
      </c>
      <c r="G45" s="86">
        <f>'C4-FinPerf RE'!G36</f>
        <v>896520297.21000004</v>
      </c>
      <c r="H45" s="228">
        <f>'C4-FinPerf RE'!K36</f>
        <v>1008968148</v>
      </c>
    </row>
    <row r="46" spans="1:8" ht="12.75" customHeight="1" x14ac:dyDescent="0.25">
      <c r="A46" s="39" t="str">
        <f>'C5-Capex'!A40</f>
        <v>Total Capital Expenditure</v>
      </c>
      <c r="D46" s="37">
        <f>'C5-Capex'!C40</f>
        <v>201022307.78999999</v>
      </c>
      <c r="E46" s="87">
        <f>'C5-Capex'!D40</f>
        <v>226517177</v>
      </c>
      <c r="F46" s="86">
        <f>'C5-Capex'!E40</f>
        <v>272453658.22000003</v>
      </c>
      <c r="G46" s="86">
        <f>'C5-Capex'!G40</f>
        <v>232896014.37000003</v>
      </c>
      <c r="H46" s="228">
        <f>'C5-Capex'!K40</f>
        <v>272453658.22000003</v>
      </c>
    </row>
    <row r="47" spans="1:8" ht="12.75" customHeight="1" x14ac:dyDescent="0.25">
      <c r="A47" s="39" t="s">
        <v>539</v>
      </c>
      <c r="D47" s="37">
        <f>'C5-Capex'!C72</f>
        <v>21325376.760000002</v>
      </c>
      <c r="E47" s="87">
        <f>'C5-Capex'!D72</f>
        <v>0</v>
      </c>
      <c r="F47" s="86">
        <f>'C5-Capex'!E72</f>
        <v>6443093</v>
      </c>
      <c r="G47" s="86">
        <f>'C5-Capex'!G72</f>
        <v>6623092.3700000001</v>
      </c>
      <c r="H47" s="228">
        <f>'C5-Capex'!K72</f>
        <v>6443093</v>
      </c>
    </row>
    <row r="48" spans="1:8" ht="12.75" customHeight="1" x14ac:dyDescent="0.25">
      <c r="A48" s="39" t="s">
        <v>537</v>
      </c>
      <c r="D48" s="37">
        <f>'C6-FinPos'!C30+'C6-FinPos'!C31+'C6-FinPos'!C33+'C6-FinPos'!C38</f>
        <v>328987313</v>
      </c>
      <c r="E48" s="87">
        <f>'C6-FinPos'!D30+'C6-FinPos'!D31+'C6-FinPos'!D33+'C6-FinPos'!D38</f>
        <v>279076553.02715003</v>
      </c>
      <c r="F48" s="86">
        <f>'C6-FinPos'!E30+'C6-FinPos'!E31+'C6-FinPos'!E33+'C6-FinPos'!E38</f>
        <v>279076553.02715003</v>
      </c>
      <c r="G48" s="86">
        <f>'C6-FinPos'!F30+'C6-FinPos'!F31+'C6-FinPos'!F33+'C6-FinPos'!F38</f>
        <v>344648521</v>
      </c>
      <c r="H48" s="228">
        <f>'C6-FinPos'!G30+'C6-FinPos'!G31+'C6-FinPos'!G33+'C6-FinPos'!G38</f>
        <v>279076553.02715003</v>
      </c>
    </row>
    <row r="49" spans="1:8" ht="12.75" customHeight="1" x14ac:dyDescent="0.25">
      <c r="A49" s="39" t="s">
        <v>538</v>
      </c>
      <c r="D49" s="37">
        <f>'C6-FinPos'!C48</f>
        <v>1723547720</v>
      </c>
      <c r="E49" s="87">
        <f>'C6-FinPos'!D48</f>
        <v>2031365337.7425299</v>
      </c>
      <c r="F49" s="86">
        <f>'C6-FinPos'!E48</f>
        <v>2031365337.7425299</v>
      </c>
      <c r="G49" s="86">
        <f>'C6-FinPos'!F48</f>
        <v>1894912504</v>
      </c>
      <c r="H49" s="228">
        <f>'C6-FinPos'!G48</f>
        <v>2031365337.7425299</v>
      </c>
    </row>
    <row r="50" spans="1:8" ht="12.75" customHeight="1" x14ac:dyDescent="0.25">
      <c r="A50" s="39" t="str">
        <f>'C6-FinPos'!A47</f>
        <v>Reserves</v>
      </c>
      <c r="D50" s="37">
        <f>'C6-FinPos'!C47</f>
        <v>0</v>
      </c>
      <c r="E50" s="87">
        <f>'C6-FinPos'!D47</f>
        <v>3668178.0699996948</v>
      </c>
      <c r="F50" s="86">
        <f>'C6-FinPos'!E47</f>
        <v>3668178.0699996948</v>
      </c>
      <c r="G50" s="86">
        <f>'C6-FinPos'!F47</f>
        <v>0</v>
      </c>
      <c r="H50" s="228">
        <f>'C6-FinPos'!G47</f>
        <v>3668178.0699996948</v>
      </c>
    </row>
    <row r="51" spans="1:8" ht="12.75" customHeight="1" x14ac:dyDescent="0.25">
      <c r="A51" s="39" t="str">
        <f>'C6-FinPos'!A38</f>
        <v>Borrowing</v>
      </c>
      <c r="D51" s="37">
        <f>'C6-FinPos'!C38</f>
        <v>214291004</v>
      </c>
      <c r="E51" s="87">
        <f>'C6-FinPos'!D38</f>
        <v>203881100.30000004</v>
      </c>
      <c r="F51" s="86">
        <f>'C6-FinPos'!E38</f>
        <v>203881100.30000004</v>
      </c>
      <c r="G51" s="86">
        <f>'C6-FinPos'!F38</f>
        <v>203881101</v>
      </c>
      <c r="H51" s="228">
        <f>'C6-FinPos'!G38</f>
        <v>203881100.30000004</v>
      </c>
    </row>
    <row r="52" spans="1:8" ht="12.75" customHeight="1" x14ac:dyDescent="0.25">
      <c r="A52" s="39" t="str">
        <f>'C6-FinPos'!A6</f>
        <v>Current assets</v>
      </c>
      <c r="D52" s="37">
        <f>'C6-FinPos'!C13</f>
        <v>263527437</v>
      </c>
      <c r="E52" s="87">
        <f>'C6-FinPos'!D13</f>
        <v>250876801.47620645</v>
      </c>
      <c r="F52" s="86">
        <f>'C6-FinPos'!E13</f>
        <v>250876801.47620645</v>
      </c>
      <c r="G52" s="86">
        <f>'C6-FinPos'!F13</f>
        <v>309986522</v>
      </c>
      <c r="H52" s="228">
        <f>'C6-FinPos'!G13</f>
        <v>250876801.47620645</v>
      </c>
    </row>
    <row r="53" spans="1:8" ht="12.75" customHeight="1" x14ac:dyDescent="0.25">
      <c r="A53" s="39" t="str">
        <f>'C6-FinPos'!A29</f>
        <v>Current liabilities</v>
      </c>
      <c r="D53" s="37">
        <f>'C6-FinPos'!C35</f>
        <v>148202492</v>
      </c>
      <c r="E53" s="87">
        <f>'C6-FinPos'!D35</f>
        <v>111080231.19366536</v>
      </c>
      <c r="F53" s="86">
        <f>'C6-FinPos'!E35</f>
        <v>111080231.19366536</v>
      </c>
      <c r="G53" s="86">
        <f>'C6-FinPos'!F35</f>
        <v>176859014</v>
      </c>
      <c r="H53" s="228">
        <f>'C6-FinPos'!G35</f>
        <v>111080231.19366536</v>
      </c>
    </row>
    <row r="54" spans="1:8" ht="12.75" customHeight="1" x14ac:dyDescent="0.25">
      <c r="A54" s="39" t="s">
        <v>540</v>
      </c>
      <c r="D54" s="37">
        <f>'C6-FinPos'!C7+'C6-FinPos'!C8</f>
        <v>129955387</v>
      </c>
      <c r="E54" s="87">
        <f>'C6-FinPos'!D7+'C6-FinPos'!D8</f>
        <v>128336986.36</v>
      </c>
      <c r="F54" s="86">
        <f>'C6-FinPos'!E7+'C6-FinPos'!E8</f>
        <v>128336986.36</v>
      </c>
      <c r="G54" s="86">
        <f>'C6-FinPos'!F7+'C6-FinPos'!F8</f>
        <v>98507716</v>
      </c>
      <c r="H54" s="228">
        <f>'C6-FinPos'!G7+'C6-FinPos'!G8</f>
        <v>128336986.36</v>
      </c>
    </row>
    <row r="55" spans="1:8" ht="12.75" customHeight="1" x14ac:dyDescent="0.25">
      <c r="A55" s="39" t="str">
        <f>'C4-FinPerf RE'!A22</f>
        <v>Total Revenue (excluding capital transfers and contributions)</v>
      </c>
      <c r="D55" s="37">
        <f>'C4-FinPerf RE'!C22</f>
        <v>927868251.90999997</v>
      </c>
      <c r="E55" s="87">
        <f>'C4-FinPerf RE'!D22</f>
        <v>994129047</v>
      </c>
      <c r="F55" s="86">
        <f>'C4-FinPerf RE'!E22</f>
        <v>1020939730</v>
      </c>
      <c r="G55" s="86">
        <f>'C4-FinPerf RE'!G22</f>
        <v>962534729.49000001</v>
      </c>
      <c r="H55" s="228">
        <f>'C4-FinPerf RE'!K22</f>
        <v>1020939730</v>
      </c>
    </row>
    <row r="56" spans="1:8" ht="12.75" customHeight="1" x14ac:dyDescent="0.25">
      <c r="A56" s="39" t="str">
        <f>'C4-FinPerf RE'!A19</f>
        <v>Transfers and subsidies - operating</v>
      </c>
      <c r="D56" s="37">
        <f>'C4-FinPerf RE'!C19</f>
        <v>130203145.53999999</v>
      </c>
      <c r="E56" s="87">
        <f>'C4-FinPerf RE'!D19</f>
        <v>146455247</v>
      </c>
      <c r="F56" s="86">
        <f>'C4-FinPerf RE'!E19</f>
        <v>144633652</v>
      </c>
      <c r="G56" s="86">
        <f>'C4-FinPerf RE'!G19</f>
        <v>126629947.43000001</v>
      </c>
      <c r="H56" s="228">
        <f>'C4-FinPerf RE'!K19</f>
        <v>144633652</v>
      </c>
    </row>
    <row r="57" spans="1:8" ht="12.75" customHeight="1" x14ac:dyDescent="0.25">
      <c r="A57" s="39" t="str">
        <f>'C4-FinPerf RE'!A39</f>
        <v>Transfers and subsidies - capital (monetary allocations) (National / Provincial and District)</v>
      </c>
      <c r="D57" s="37">
        <f>'C4-FinPerf RE'!C39</f>
        <v>131654444.79999998</v>
      </c>
      <c r="E57" s="87">
        <f>'C4-FinPerf RE'!D39</f>
        <v>141090000</v>
      </c>
      <c r="F57" s="86">
        <f>'C4-FinPerf RE'!E39</f>
        <v>155996715</v>
      </c>
      <c r="G57" s="86">
        <f>'C4-FinPerf RE'!G39</f>
        <v>0</v>
      </c>
      <c r="H57" s="228">
        <f>'C4-FinPerf RE'!K39</f>
        <v>155996715</v>
      </c>
    </row>
    <row r="58" spans="1:8" ht="12.75" customHeight="1" x14ac:dyDescent="0.25">
      <c r="A58" s="39" t="s">
        <v>453</v>
      </c>
      <c r="D58" s="37">
        <f>'C7-CFlow'!C12+'C7-CFlow'!C36</f>
        <v>3180033.8699999973</v>
      </c>
      <c r="E58" s="87">
        <f>'C7-CFlow'!D12+'C7-CFlow'!D36</f>
        <v>8116228.3200000003</v>
      </c>
      <c r="F58" s="86">
        <f>'C7-CFlow'!E12+'C7-CFlow'!E36</f>
        <v>9311916.3200000003</v>
      </c>
      <c r="G58" s="86">
        <f>'C7-CFlow'!G16+'C7-CFlow'!G36</f>
        <v>-34378371.329999998</v>
      </c>
      <c r="H58" s="228">
        <f>'C7-CFlow'!K16+'C7-CFlow'!K36</f>
        <v>-32885418.640000001</v>
      </c>
    </row>
    <row r="59" spans="1:8" ht="12.75" customHeight="1" x14ac:dyDescent="0.25">
      <c r="A59" s="39" t="s">
        <v>533</v>
      </c>
      <c r="D59" s="37">
        <f>'C6-FinPos'!C9+'C6-FinPos'!C10+'C6-FinPos'!C11+'C6-FinPos'!C16</f>
        <v>120488818</v>
      </c>
      <c r="E59" s="87">
        <f>'C6-FinPos'!D9+'C6-FinPos'!D10+'C6-FinPos'!D11+'C6-FinPos'!D16</f>
        <v>108676151.49852242</v>
      </c>
      <c r="F59" s="86">
        <f>'C6-FinPos'!E9+'C6-FinPos'!E10+'C6-FinPos'!E11+'C6-FinPos'!E16</f>
        <v>108676151.49852242</v>
      </c>
      <c r="G59" s="86">
        <f>'C6-FinPos'!F9+'C6-FinPos'!F10+'C6-FinPos'!F11+'C6-FinPos'!F16</f>
        <v>194479665</v>
      </c>
      <c r="H59" s="228">
        <f>'C6-FinPos'!G9+'C6-FinPos'!G10+'C6-FinPos'!G11+'C6-FinPos'!G16</f>
        <v>108676151.49852242</v>
      </c>
    </row>
    <row r="60" spans="1:8" ht="12.75" customHeight="1" x14ac:dyDescent="0.25">
      <c r="A60" s="39" t="s">
        <v>454</v>
      </c>
      <c r="D60" s="37">
        <f>SUM('C4-FinPerf RE'!C7:C11)</f>
        <v>508435906.48999995</v>
      </c>
      <c r="E60" s="87">
        <f>SUM('C4-FinPerf RE'!D7:D11)</f>
        <v>578888000</v>
      </c>
      <c r="F60" s="86">
        <f>SUM('C4-FinPerf RE'!E7:E11)</f>
        <v>574963431</v>
      </c>
      <c r="G60" s="86">
        <f>SUM('C4-FinPerf RE'!G7:G11)</f>
        <v>532840418.13999987</v>
      </c>
      <c r="H60" s="228"/>
    </row>
    <row r="61" spans="1:8" ht="12.75" customHeight="1" x14ac:dyDescent="0.25">
      <c r="A61" s="39" t="s">
        <v>455</v>
      </c>
      <c r="B61" s="22" t="s">
        <v>456</v>
      </c>
      <c r="D61" s="37">
        <f>'C6-FinPos'!C7+'C6-FinPos'!C8+'C6-FinPos'!C17-'C6-FinPos'!C30</f>
        <v>129955387</v>
      </c>
      <c r="E61" s="87">
        <f>'C6-FinPos'!D7+'C6-FinPos'!D8+'C6-FinPos'!D17-'C6-FinPos'!D30</f>
        <v>128336986.36</v>
      </c>
      <c r="F61" s="86">
        <f>'C6-FinPos'!E7+'C6-FinPos'!E8+'C6-FinPos'!E17-'C6-FinPos'!E30</f>
        <v>128336986.36</v>
      </c>
      <c r="G61" s="86">
        <f>'C6-FinPos'!F7+'C6-FinPos'!F8+'C6-FinPos'!F17-'C6-FinPos'!F30</f>
        <v>98507716</v>
      </c>
      <c r="H61" s="228">
        <f>'C6-FinPos'!G7+'C6-FinPos'!G8+'C6-FinPos'!G17-'C6-FinPos'!G30</f>
        <v>128336986.36</v>
      </c>
    </row>
    <row r="62" spans="1:8" ht="12.75" customHeight="1" x14ac:dyDescent="0.25">
      <c r="A62" s="39" t="s">
        <v>738</v>
      </c>
      <c r="D62" s="873"/>
      <c r="E62" s="880"/>
      <c r="F62" s="881"/>
      <c r="G62" s="881"/>
      <c r="H62" s="882"/>
    </row>
    <row r="63" spans="1:8" ht="12.75" customHeight="1" x14ac:dyDescent="0.25">
      <c r="A63" s="39" t="s">
        <v>790</v>
      </c>
      <c r="D63" s="874">
        <f>'C6-FinPos'!C16</f>
        <v>5405709</v>
      </c>
      <c r="E63" s="883">
        <f>'C6-FinPos'!D16</f>
        <v>6263713.805308436</v>
      </c>
      <c r="F63" s="884">
        <f>'C6-FinPos'!E16</f>
        <v>6263713.805308436</v>
      </c>
      <c r="G63" s="884">
        <f>'C6-FinPos'!F16</f>
        <v>4312831</v>
      </c>
      <c r="H63" s="885">
        <f>'C6-FinPos'!G16</f>
        <v>6263713.805308436</v>
      </c>
    </row>
    <row r="64" spans="1:8" ht="12.75" customHeight="1" x14ac:dyDescent="0.25">
      <c r="A64" s="39" t="s">
        <v>737</v>
      </c>
      <c r="D64" s="875"/>
      <c r="E64" s="886"/>
      <c r="F64" s="887"/>
      <c r="G64" s="887"/>
      <c r="H64" s="888"/>
    </row>
    <row r="65" spans="1:8" ht="12.75" customHeight="1" x14ac:dyDescent="0.25">
      <c r="A65" s="39" t="s">
        <v>791</v>
      </c>
      <c r="D65" s="876"/>
      <c r="E65" s="889"/>
      <c r="F65" s="890"/>
      <c r="G65" s="890"/>
      <c r="H65" s="891"/>
    </row>
    <row r="66" spans="1:8" ht="11.25" customHeight="1" x14ac:dyDescent="0.25">
      <c r="A66" s="80"/>
      <c r="B66" s="286"/>
      <c r="C66" s="286"/>
      <c r="D66" s="286"/>
      <c r="E66" s="286"/>
      <c r="F66" s="286"/>
      <c r="G66" s="286"/>
      <c r="H66" s="29"/>
    </row>
  </sheetData>
  <sheetProtection sheet="1" objects="1" scenarios="1"/>
  <mergeCells count="4">
    <mergeCell ref="A2:A3"/>
    <mergeCell ref="B2:B3"/>
    <mergeCell ref="C2:C3"/>
    <mergeCell ref="A1:H1"/>
  </mergeCells>
  <phoneticPr fontId="3" type="noConversion"/>
  <printOptions horizontalCentered="1"/>
  <pageMargins left="0.19685039370078741" right="0.19685039370078741" top="0.39370078740157483" bottom="0.39370078740157483" header="0.51181102362204722" footer="0.39370078740157483"/>
  <pageSetup paperSize="9" scale="78" orientation="portrait" r:id="rId1"/>
  <headerFooter alignWithMargins="0"/>
  <ignoredErrors>
    <ignoredError sqref="D60:H65"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8">
    <tabColor indexed="42"/>
    <pageSetUpPr fitToPage="1"/>
  </sheetPr>
  <dimension ref="A1:O26"/>
  <sheetViews>
    <sheetView showGridLines="0" view="pageBreakPreview" zoomScaleNormal="100" zoomScaleSheetLayoutView="100" workbookViewId="0">
      <pane ySplit="3" topLeftCell="A4" activePane="bottomLeft" state="frozen"/>
      <selection pane="bottomLeft"/>
    </sheetView>
  </sheetViews>
  <sheetFormatPr defaultColWidth="9.140625" defaultRowHeight="21.75" customHeight="1" x14ac:dyDescent="0.25"/>
  <cols>
    <col min="1" max="1" width="48.42578125" style="22" customWidth="1"/>
    <col min="2" max="2" width="5.140625" style="22" bestFit="1" customWidth="1"/>
    <col min="3" max="12" width="8.7109375" style="22" customWidth="1"/>
    <col min="13" max="14" width="10.5703125" style="22" customWidth="1"/>
    <col min="15" max="15" width="8.7109375" style="22" customWidth="1"/>
    <col min="16" max="16384" width="9.140625" style="22"/>
  </cols>
  <sheetData>
    <row r="1" spans="1:15" ht="16.149999999999999" customHeight="1" x14ac:dyDescent="0.25">
      <c r="A1" s="313" t="str">
        <f>muni&amp; " - "&amp;S71I&amp; " - "&amp;Head57</f>
        <v>WC025 Breede Valley - Supporting Table SC3 Monthly Budget Statement - aged debtors - Q4 Fourth Quarter</v>
      </c>
      <c r="B1" s="893"/>
      <c r="C1" s="893"/>
      <c r="D1" s="893"/>
      <c r="E1" s="893"/>
      <c r="F1" s="893"/>
      <c r="G1" s="893"/>
      <c r="H1" s="893"/>
      <c r="I1" s="893"/>
      <c r="J1" s="893"/>
      <c r="K1" s="893"/>
      <c r="L1" s="893"/>
      <c r="M1" s="893"/>
      <c r="N1" s="894"/>
      <c r="O1" s="341"/>
    </row>
    <row r="2" spans="1:15" ht="13.35" customHeight="1" x14ac:dyDescent="0.25">
      <c r="A2" s="302" t="str">
        <f>desc</f>
        <v>Description</v>
      </c>
      <c r="B2" s="623"/>
      <c r="C2" s="1010" t="str">
        <f>Head2</f>
        <v>Budget Year 2018/19</v>
      </c>
      <c r="D2" s="1011"/>
      <c r="E2" s="1011"/>
      <c r="F2" s="1011"/>
      <c r="G2" s="1011"/>
      <c r="H2" s="1011"/>
      <c r="I2" s="1011"/>
      <c r="J2" s="1011"/>
      <c r="K2" s="1011"/>
      <c r="L2" s="1011"/>
      <c r="M2" s="1011"/>
      <c r="N2" s="1012"/>
      <c r="O2" s="639"/>
    </row>
    <row r="3" spans="1:15" ht="52.5" customHeight="1" x14ac:dyDescent="0.25">
      <c r="A3" s="628" t="s">
        <v>678</v>
      </c>
      <c r="B3" s="622" t="s">
        <v>747</v>
      </c>
      <c r="C3" s="624" t="s">
        <v>13</v>
      </c>
      <c r="D3" s="625" t="s">
        <v>14</v>
      </c>
      <c r="E3" s="625" t="s">
        <v>15</v>
      </c>
      <c r="F3" s="625" t="s">
        <v>16</v>
      </c>
      <c r="G3" s="625" t="s">
        <v>17</v>
      </c>
      <c r="H3" s="625" t="s">
        <v>18</v>
      </c>
      <c r="I3" s="625" t="s">
        <v>19</v>
      </c>
      <c r="J3" s="626" t="s">
        <v>20</v>
      </c>
      <c r="K3" s="627" t="s">
        <v>55</v>
      </c>
      <c r="L3" s="627" t="s">
        <v>1116</v>
      </c>
      <c r="M3" s="627" t="s">
        <v>1117</v>
      </c>
      <c r="N3" s="627" t="s">
        <v>1104</v>
      </c>
      <c r="O3" s="892"/>
    </row>
    <row r="4" spans="1:15" ht="12.75" x14ac:dyDescent="0.25">
      <c r="A4" s="77" t="s">
        <v>1092</v>
      </c>
      <c r="B4" s="142"/>
      <c r="C4" s="157"/>
      <c r="D4" s="138"/>
      <c r="E4" s="138"/>
      <c r="F4" s="138"/>
      <c r="G4" s="138"/>
      <c r="H4" s="138"/>
      <c r="I4" s="138"/>
      <c r="J4" s="241"/>
      <c r="K4" s="139"/>
      <c r="L4" s="139"/>
      <c r="M4" s="151"/>
      <c r="N4" s="151"/>
    </row>
    <row r="5" spans="1:15" ht="12.75" customHeight="1" x14ac:dyDescent="0.25">
      <c r="A5" s="36" t="s">
        <v>1093</v>
      </c>
      <c r="B5" s="142">
        <v>1200</v>
      </c>
      <c r="C5" s="328">
        <v>9328675.7200000007</v>
      </c>
      <c r="D5" s="329">
        <v>1261684.55</v>
      </c>
      <c r="E5" s="329">
        <v>900603.72</v>
      </c>
      <c r="F5" s="329">
        <v>967849.2</v>
      </c>
      <c r="G5" s="329">
        <v>826064.48</v>
      </c>
      <c r="H5" s="329">
        <v>919508.01</v>
      </c>
      <c r="I5" s="329">
        <v>3971355.19</v>
      </c>
      <c r="J5" s="331">
        <v>10304771.99</v>
      </c>
      <c r="K5" s="111">
        <f>SUM(C5:J5)</f>
        <v>28480512.859999999</v>
      </c>
      <c r="L5" s="111">
        <f>SUM(F5:J5)</f>
        <v>16989548.870000001</v>
      </c>
      <c r="M5" s="332">
        <v>5228402</v>
      </c>
      <c r="N5" s="332">
        <v>13621381.689999999</v>
      </c>
      <c r="O5" s="40"/>
    </row>
    <row r="6" spans="1:15" ht="12.75" customHeight="1" x14ac:dyDescent="0.25">
      <c r="A6" s="36" t="s">
        <v>1095</v>
      </c>
      <c r="B6" s="142">
        <v>1300</v>
      </c>
      <c r="C6" s="328">
        <v>31991409.899999999</v>
      </c>
      <c r="D6" s="329">
        <v>338132.39</v>
      </c>
      <c r="E6" s="329">
        <v>375152.75</v>
      </c>
      <c r="F6" s="329">
        <v>111779.79</v>
      </c>
      <c r="G6" s="329">
        <v>65032.45</v>
      </c>
      <c r="H6" s="329">
        <v>61842.65</v>
      </c>
      <c r="I6" s="329">
        <v>1253512</v>
      </c>
      <c r="J6" s="331">
        <v>2692606.23</v>
      </c>
      <c r="K6" s="111">
        <f>SUM(C6:J6)</f>
        <v>36889468.159999989</v>
      </c>
      <c r="L6" s="111">
        <f t="shared" ref="L6:L12" si="0">SUM(F6:J6)</f>
        <v>4184773.12</v>
      </c>
      <c r="M6" s="332">
        <v>81829</v>
      </c>
      <c r="N6" s="332">
        <v>3190538.13</v>
      </c>
      <c r="O6" s="40"/>
    </row>
    <row r="7" spans="1:15" ht="12.75" customHeight="1" x14ac:dyDescent="0.25">
      <c r="A7" s="36" t="s">
        <v>1094</v>
      </c>
      <c r="B7" s="142">
        <v>1400</v>
      </c>
      <c r="C7" s="328">
        <v>9117019.7200000007</v>
      </c>
      <c r="D7" s="329">
        <v>501156.42</v>
      </c>
      <c r="E7" s="329">
        <v>563694.05000000005</v>
      </c>
      <c r="F7" s="329">
        <v>405496.21</v>
      </c>
      <c r="G7" s="329">
        <v>326650.65000000002</v>
      </c>
      <c r="H7" s="329">
        <v>492559.1</v>
      </c>
      <c r="I7" s="329">
        <v>2876516.03</v>
      </c>
      <c r="J7" s="331">
        <v>11270043.93</v>
      </c>
      <c r="K7" s="111">
        <f t="shared" ref="K7:K13" si="1">SUM(C7:J7)</f>
        <v>25553136.109999999</v>
      </c>
      <c r="L7" s="111">
        <f t="shared" si="0"/>
        <v>15371265.92</v>
      </c>
      <c r="M7" s="332">
        <v>946160</v>
      </c>
      <c r="N7" s="332">
        <v>18716871.449999999</v>
      </c>
      <c r="O7" s="40"/>
    </row>
    <row r="8" spans="1:15" ht="12.75" customHeight="1" x14ac:dyDescent="0.25">
      <c r="A8" s="36" t="s">
        <v>1096</v>
      </c>
      <c r="B8" s="142">
        <v>1500</v>
      </c>
      <c r="C8" s="328">
        <v>6669307.8300000001</v>
      </c>
      <c r="D8" s="329">
        <v>1041040.34</v>
      </c>
      <c r="E8" s="329">
        <v>1008974.38</v>
      </c>
      <c r="F8" s="329">
        <v>916398.25</v>
      </c>
      <c r="G8" s="329">
        <v>957440.09</v>
      </c>
      <c r="H8" s="329">
        <v>945516.14</v>
      </c>
      <c r="I8" s="329">
        <v>5498757.6299999999</v>
      </c>
      <c r="J8" s="331">
        <v>15967975.779999999</v>
      </c>
      <c r="K8" s="111">
        <f t="shared" si="1"/>
        <v>33005410.439999998</v>
      </c>
      <c r="L8" s="111">
        <f t="shared" si="0"/>
        <v>24286087.890000001</v>
      </c>
      <c r="M8" s="332">
        <v>7550123</v>
      </c>
      <c r="N8" s="332">
        <v>21793279.579999998</v>
      </c>
      <c r="O8" s="40"/>
    </row>
    <row r="9" spans="1:15" ht="12.75" customHeight="1" x14ac:dyDescent="0.25">
      <c r="A9" s="36" t="s">
        <v>1097</v>
      </c>
      <c r="B9" s="142">
        <v>1600</v>
      </c>
      <c r="C9" s="328">
        <v>4144497.4</v>
      </c>
      <c r="D9" s="329">
        <v>623904.07999999996</v>
      </c>
      <c r="E9" s="329">
        <v>591272.81999999995</v>
      </c>
      <c r="F9" s="329">
        <v>567669.82999999996</v>
      </c>
      <c r="G9" s="329">
        <v>589581.31000000006</v>
      </c>
      <c r="H9" s="329">
        <v>576845.72</v>
      </c>
      <c r="I9" s="329">
        <v>3403926.81</v>
      </c>
      <c r="J9" s="331">
        <v>9893208.7799999993</v>
      </c>
      <c r="K9" s="111">
        <f t="shared" si="1"/>
        <v>20390906.75</v>
      </c>
      <c r="L9" s="111">
        <f>SUM(F9:J9)</f>
        <v>15031232.449999999</v>
      </c>
      <c r="M9" s="332">
        <v>4670893</v>
      </c>
      <c r="N9" s="332">
        <v>13679406.32</v>
      </c>
      <c r="O9" s="40"/>
    </row>
    <row r="10" spans="1:15" ht="12.75" customHeight="1" x14ac:dyDescent="0.25">
      <c r="A10" s="36" t="s">
        <v>1098</v>
      </c>
      <c r="B10" s="142">
        <v>1700</v>
      </c>
      <c r="C10" s="328">
        <v>620841.24</v>
      </c>
      <c r="D10" s="329">
        <v>191589.59</v>
      </c>
      <c r="E10" s="329">
        <v>188279.2</v>
      </c>
      <c r="F10" s="329">
        <v>187734.88</v>
      </c>
      <c r="G10" s="329">
        <v>204228.05</v>
      </c>
      <c r="H10" s="329">
        <v>198877.69</v>
      </c>
      <c r="I10" s="329">
        <v>1128730.45</v>
      </c>
      <c r="J10" s="331">
        <v>4179658.67</v>
      </c>
      <c r="K10" s="111">
        <f t="shared" si="1"/>
        <v>6899939.7699999996</v>
      </c>
      <c r="L10" s="111">
        <f>SUM(F10:J10)</f>
        <v>5899229.7400000002</v>
      </c>
      <c r="M10" s="332">
        <v>899317</v>
      </c>
      <c r="N10" s="332">
        <v>5306328.01</v>
      </c>
      <c r="O10" s="40"/>
    </row>
    <row r="11" spans="1:15" ht="12.75" customHeight="1" x14ac:dyDescent="0.25">
      <c r="A11" s="36" t="s">
        <v>1099</v>
      </c>
      <c r="B11" s="142">
        <v>1810</v>
      </c>
      <c r="C11" s="328">
        <v>64295.12</v>
      </c>
      <c r="D11" s="329">
        <v>21329.919999999998</v>
      </c>
      <c r="E11" s="329">
        <v>39698.660000000003</v>
      </c>
      <c r="F11" s="329">
        <v>46768.93</v>
      </c>
      <c r="G11" s="329">
        <v>58813.57</v>
      </c>
      <c r="H11" s="329">
        <v>88126.15</v>
      </c>
      <c r="I11" s="329">
        <v>719039.22</v>
      </c>
      <c r="J11" s="331">
        <v>13771045.48</v>
      </c>
      <c r="K11" s="111">
        <f t="shared" si="1"/>
        <v>14809117.050000001</v>
      </c>
      <c r="L11" s="111">
        <f t="shared" si="0"/>
        <v>14683793.35</v>
      </c>
      <c r="M11" s="332">
        <v>0</v>
      </c>
      <c r="N11" s="332">
        <v>0</v>
      </c>
      <c r="O11" s="40"/>
    </row>
    <row r="12" spans="1:15" ht="12.75" customHeight="1" x14ac:dyDescent="0.25">
      <c r="A12" s="36" t="s">
        <v>1100</v>
      </c>
      <c r="B12" s="142">
        <v>1820</v>
      </c>
      <c r="C12" s="328">
        <v>0</v>
      </c>
      <c r="D12" s="329">
        <v>0</v>
      </c>
      <c r="E12" s="329">
        <v>0</v>
      </c>
      <c r="F12" s="329">
        <v>0</v>
      </c>
      <c r="G12" s="329">
        <v>0</v>
      </c>
      <c r="H12" s="329">
        <v>0</v>
      </c>
      <c r="I12" s="329">
        <v>0</v>
      </c>
      <c r="J12" s="331">
        <v>0</v>
      </c>
      <c r="K12" s="111">
        <f t="shared" si="1"/>
        <v>0</v>
      </c>
      <c r="L12" s="111">
        <f t="shared" si="0"/>
        <v>0</v>
      </c>
      <c r="M12" s="332">
        <v>0</v>
      </c>
      <c r="N12" s="332">
        <v>0</v>
      </c>
      <c r="O12" s="40"/>
    </row>
    <row r="13" spans="1:15" ht="12.75" customHeight="1" x14ac:dyDescent="0.25">
      <c r="A13" s="36" t="s">
        <v>731</v>
      </c>
      <c r="B13" s="142">
        <v>1900</v>
      </c>
      <c r="C13" s="328">
        <v>-4206293.41</v>
      </c>
      <c r="D13" s="329">
        <v>234675.94</v>
      </c>
      <c r="E13" s="329">
        <v>219068.25</v>
      </c>
      <c r="F13" s="329">
        <v>632627.39</v>
      </c>
      <c r="G13" s="329">
        <v>205353.49</v>
      </c>
      <c r="H13" s="329">
        <v>261318.92</v>
      </c>
      <c r="I13" s="329">
        <v>2809589.2</v>
      </c>
      <c r="J13" s="331">
        <v>8433427.2100000009</v>
      </c>
      <c r="K13" s="111">
        <f t="shared" si="1"/>
        <v>8589766.9900000021</v>
      </c>
      <c r="L13" s="111">
        <f>SUM(F13:J13)</f>
        <v>12342316.210000001</v>
      </c>
      <c r="M13" s="332">
        <v>494258</v>
      </c>
      <c r="N13" s="332">
        <v>2962868.66</v>
      </c>
      <c r="O13" s="40"/>
    </row>
    <row r="14" spans="1:15" ht="12.75" customHeight="1" x14ac:dyDescent="0.25">
      <c r="A14" s="49" t="s">
        <v>1101</v>
      </c>
      <c r="B14" s="240">
        <v>2000</v>
      </c>
      <c r="C14" s="52">
        <f t="shared" ref="C14:N14" si="2">SUM(C5:C13)</f>
        <v>57729753.519999996</v>
      </c>
      <c r="D14" s="51">
        <f t="shared" si="2"/>
        <v>4213513.2299999995</v>
      </c>
      <c r="E14" s="51">
        <f t="shared" si="2"/>
        <v>3886743.83</v>
      </c>
      <c r="F14" s="51">
        <f t="shared" si="2"/>
        <v>3836324.4800000004</v>
      </c>
      <c r="G14" s="51">
        <f t="shared" si="2"/>
        <v>3233164.09</v>
      </c>
      <c r="H14" s="51">
        <f t="shared" si="2"/>
        <v>3544594.38</v>
      </c>
      <c r="I14" s="51">
        <f t="shared" si="2"/>
        <v>21661426.529999994</v>
      </c>
      <c r="J14" s="75">
        <f t="shared" si="2"/>
        <v>76512738.069999993</v>
      </c>
      <c r="K14" s="94">
        <f t="shared" si="2"/>
        <v>174618258.13000003</v>
      </c>
      <c r="L14" s="94">
        <f>SUM(L5:L13)</f>
        <v>108788247.54999998</v>
      </c>
      <c r="M14" s="50">
        <f t="shared" si="2"/>
        <v>19870982</v>
      </c>
      <c r="N14" s="50">
        <f t="shared" si="2"/>
        <v>79270673.839999989</v>
      </c>
      <c r="O14" s="45"/>
    </row>
    <row r="15" spans="1:15" ht="12.75" customHeight="1" x14ac:dyDescent="0.25">
      <c r="A15" s="268" t="str">
        <f>Head1&amp;" - totals only"</f>
        <v>2017/18 - totals only</v>
      </c>
      <c r="B15" s="314"/>
      <c r="C15" s="849">
        <v>42971345.739999995</v>
      </c>
      <c r="D15" s="850">
        <v>5255237.08</v>
      </c>
      <c r="E15" s="850">
        <v>3458926.4</v>
      </c>
      <c r="F15" s="850">
        <v>4065554.2899999996</v>
      </c>
      <c r="G15" s="850">
        <v>3267220.0200000005</v>
      </c>
      <c r="H15" s="850">
        <v>3332626.55</v>
      </c>
      <c r="I15" s="850">
        <v>20545998.139999997</v>
      </c>
      <c r="J15" s="851">
        <v>66539239.590000011</v>
      </c>
      <c r="K15" s="909">
        <f>SUM(C15:J15)</f>
        <v>149436147.81</v>
      </c>
      <c r="L15" s="315">
        <f>SUM(F15:J15)</f>
        <v>97750638.590000004</v>
      </c>
      <c r="M15" s="852">
        <v>15969129</v>
      </c>
      <c r="N15" s="852">
        <v>60399592</v>
      </c>
      <c r="O15" s="45"/>
    </row>
    <row r="16" spans="1:15" ht="12.75" customHeight="1" x14ac:dyDescent="0.25">
      <c r="A16" s="77" t="s">
        <v>1105</v>
      </c>
      <c r="B16" s="142"/>
      <c r="C16" s="43"/>
      <c r="D16" s="41"/>
      <c r="E16" s="41"/>
      <c r="F16" s="41"/>
      <c r="G16" s="41"/>
      <c r="H16" s="41"/>
      <c r="I16" s="41"/>
      <c r="J16" s="90"/>
      <c r="K16" s="111"/>
      <c r="L16" s="42"/>
      <c r="M16" s="42"/>
      <c r="N16" s="111"/>
    </row>
    <row r="17" spans="1:14" ht="12.75" customHeight="1" x14ac:dyDescent="0.25">
      <c r="A17" s="36" t="s">
        <v>1102</v>
      </c>
      <c r="B17" s="142">
        <v>2200</v>
      </c>
      <c r="C17" s="328">
        <v>3872167.5899999994</v>
      </c>
      <c r="D17" s="329">
        <v>63260.289999999994</v>
      </c>
      <c r="E17" s="329">
        <v>48325.62</v>
      </c>
      <c r="F17" s="329">
        <v>31063.279999999999</v>
      </c>
      <c r="G17" s="329">
        <v>19507.96</v>
      </c>
      <c r="H17" s="329">
        <v>193596.86999999997</v>
      </c>
      <c r="I17" s="329">
        <v>723780.91</v>
      </c>
      <c r="J17" s="331">
        <v>828104.55999999994</v>
      </c>
      <c r="K17" s="111">
        <f>SUM(C17:J17)</f>
        <v>5779807.0799999991</v>
      </c>
      <c r="L17" s="42">
        <f>SUM(F17:J17)</f>
        <v>1796053.58</v>
      </c>
      <c r="M17" s="332">
        <v>0</v>
      </c>
      <c r="N17" s="526">
        <v>0</v>
      </c>
    </row>
    <row r="18" spans="1:14" ht="12.75" customHeight="1" x14ac:dyDescent="0.25">
      <c r="A18" s="36" t="s">
        <v>1103</v>
      </c>
      <c r="B18" s="142">
        <v>2300</v>
      </c>
      <c r="C18" s="328">
        <v>11784955.929999998</v>
      </c>
      <c r="D18" s="329">
        <v>85472.26</v>
      </c>
      <c r="E18" s="329">
        <v>97645.24</v>
      </c>
      <c r="F18" s="329">
        <v>39494</v>
      </c>
      <c r="G18" s="329">
        <v>38179.32</v>
      </c>
      <c r="H18" s="329">
        <v>36807.11</v>
      </c>
      <c r="I18" s="329">
        <v>1212413</v>
      </c>
      <c r="J18" s="331">
        <v>1922212.75</v>
      </c>
      <c r="K18" s="111">
        <f>SUM(C18:J18)</f>
        <v>15217179.609999998</v>
      </c>
      <c r="L18" s="42">
        <f>SUM(F18:J18)</f>
        <v>3249106.1799999997</v>
      </c>
      <c r="M18" s="332">
        <v>0</v>
      </c>
      <c r="N18" s="526">
        <v>0</v>
      </c>
    </row>
    <row r="19" spans="1:14" ht="12.75" customHeight="1" x14ac:dyDescent="0.25">
      <c r="A19" s="36" t="s">
        <v>696</v>
      </c>
      <c r="B19" s="142">
        <v>2400</v>
      </c>
      <c r="C19" s="328">
        <v>36335941.269999996</v>
      </c>
      <c r="D19" s="329">
        <v>3821882.3400000003</v>
      </c>
      <c r="E19" s="329">
        <v>3411351.22</v>
      </c>
      <c r="F19" s="329">
        <v>3549336.98</v>
      </c>
      <c r="G19" s="329">
        <v>3035735.9099999997</v>
      </c>
      <c r="H19" s="329">
        <v>3115079.5599999996</v>
      </c>
      <c r="I19" s="329">
        <v>18436645.210000001</v>
      </c>
      <c r="J19" s="331">
        <v>65467709.839999996</v>
      </c>
      <c r="K19" s="111">
        <f>SUM(C19:J19)</f>
        <v>137173682.32999998</v>
      </c>
      <c r="L19" s="42">
        <f>SUM(F19:J19)</f>
        <v>93604507.5</v>
      </c>
      <c r="M19" s="332">
        <v>19870982</v>
      </c>
      <c r="N19" s="526">
        <v>79270673.839999989</v>
      </c>
    </row>
    <row r="20" spans="1:14" ht="12.75" customHeight="1" x14ac:dyDescent="0.25">
      <c r="A20" s="36" t="s">
        <v>731</v>
      </c>
      <c r="B20" s="142">
        <v>2500</v>
      </c>
      <c r="C20" s="328">
        <v>5736688.7300000004</v>
      </c>
      <c r="D20" s="329">
        <v>242898.34</v>
      </c>
      <c r="E20" s="329">
        <v>329421.75</v>
      </c>
      <c r="F20" s="329">
        <v>216430.22</v>
      </c>
      <c r="G20" s="329">
        <v>139740.9</v>
      </c>
      <c r="H20" s="329">
        <v>199110.84</v>
      </c>
      <c r="I20" s="329">
        <v>1288587.4099999999</v>
      </c>
      <c r="J20" s="331">
        <v>8294710.9199999999</v>
      </c>
      <c r="K20" s="111">
        <f>SUM(C20:J20)</f>
        <v>16447589.109999999</v>
      </c>
      <c r="L20" s="42">
        <f>SUM(F20:J20)</f>
        <v>10138580.289999999</v>
      </c>
      <c r="M20" s="332">
        <v>0</v>
      </c>
      <c r="N20" s="527">
        <v>0</v>
      </c>
    </row>
    <row r="21" spans="1:14" ht="12.75" customHeight="1" x14ac:dyDescent="0.25">
      <c r="A21" s="49" t="s">
        <v>1106</v>
      </c>
      <c r="B21" s="240">
        <v>2600</v>
      </c>
      <c r="C21" s="52">
        <f t="shared" ref="C21:I21" si="3">SUM(C17:C20)</f>
        <v>57729753.519999996</v>
      </c>
      <c r="D21" s="51">
        <f t="shared" si="3"/>
        <v>4213513.2300000004</v>
      </c>
      <c r="E21" s="51">
        <f t="shared" si="3"/>
        <v>3886743.83</v>
      </c>
      <c r="F21" s="51">
        <f t="shared" si="3"/>
        <v>3836324.48</v>
      </c>
      <c r="G21" s="51">
        <f t="shared" si="3"/>
        <v>3233164.0899999994</v>
      </c>
      <c r="H21" s="51">
        <f t="shared" si="3"/>
        <v>3544594.3799999994</v>
      </c>
      <c r="I21" s="51">
        <f t="shared" si="3"/>
        <v>21661426.530000001</v>
      </c>
      <c r="J21" s="75">
        <f>SUM(J17:J20)</f>
        <v>76512738.069999993</v>
      </c>
      <c r="K21" s="94">
        <f>SUM(K17:K20)</f>
        <v>174618258.13</v>
      </c>
      <c r="L21" s="50">
        <f>SUM(L17:L20)</f>
        <v>108788247.55000001</v>
      </c>
      <c r="M21" s="50">
        <f>SUM(M17:M20)</f>
        <v>19870982</v>
      </c>
      <c r="N21" s="207">
        <f>SUM(N17:N20)</f>
        <v>79270673.839999989</v>
      </c>
    </row>
    <row r="22" spans="1:14" ht="12.75" customHeight="1" x14ac:dyDescent="0.25">
      <c r="A22" s="680" t="s">
        <v>799</v>
      </c>
      <c r="B22" s="140"/>
      <c r="C22" s="45"/>
      <c r="D22" s="45"/>
      <c r="E22" s="45"/>
      <c r="F22" s="45"/>
      <c r="G22" s="45"/>
      <c r="H22" s="45"/>
      <c r="I22" s="45"/>
      <c r="J22" s="45"/>
      <c r="K22" s="45"/>
      <c r="L22" s="45"/>
      <c r="M22" s="45"/>
      <c r="N22" s="837"/>
    </row>
    <row r="23" spans="1:14" ht="12.75" x14ac:dyDescent="0.25">
      <c r="A23" s="78" t="s">
        <v>632</v>
      </c>
      <c r="N23" s="151"/>
    </row>
    <row r="24" spans="1:14" ht="12.75" x14ac:dyDescent="0.25">
      <c r="A24" s="78" t="s">
        <v>541</v>
      </c>
      <c r="N24" s="151"/>
    </row>
    <row r="25" spans="1:14" ht="12.75" x14ac:dyDescent="0.25">
      <c r="A25" s="78" t="s">
        <v>1107</v>
      </c>
      <c r="N25" s="151"/>
    </row>
    <row r="26" spans="1:14" ht="12.75" x14ac:dyDescent="0.25">
      <c r="A26" s="80"/>
      <c r="B26" s="286"/>
      <c r="C26" s="303">
        <f>C14-C21</f>
        <v>0</v>
      </c>
      <c r="D26" s="303">
        <f>D14-D21</f>
        <v>0</v>
      </c>
      <c r="E26" s="303">
        <f t="shared" ref="E26:I26" si="4">E14-E21</f>
        <v>0</v>
      </c>
      <c r="F26" s="303">
        <f t="shared" si="4"/>
        <v>0</v>
      </c>
      <c r="G26" s="303">
        <f t="shared" si="4"/>
        <v>0</v>
      </c>
      <c r="H26" s="303">
        <f t="shared" si="4"/>
        <v>0</v>
      </c>
      <c r="I26" s="303">
        <f t="shared" si="4"/>
        <v>0</v>
      </c>
      <c r="J26" s="303">
        <f>J14-J21</f>
        <v>0</v>
      </c>
      <c r="K26" s="303">
        <f>K14-K21</f>
        <v>0</v>
      </c>
      <c r="L26" s="303">
        <f>L14-L21</f>
        <v>0</v>
      </c>
      <c r="M26" s="303">
        <f>M14-M21</f>
        <v>0</v>
      </c>
      <c r="N26" s="304">
        <f>N14-N21</f>
        <v>0</v>
      </c>
    </row>
  </sheetData>
  <mergeCells count="1">
    <mergeCell ref="C2:N2"/>
  </mergeCells>
  <phoneticPr fontId="3" type="noConversion"/>
  <printOptions horizontalCentered="1"/>
  <pageMargins left="0.19685039370078741" right="0.19685039370078741" top="0.59055118110236227" bottom="0.59055118110236227" header="0.51181102362204722" footer="0.39370078740157483"/>
  <pageSetup paperSize="9" scale="90" orientation="landscape" r:id="rId1"/>
  <headerFooter alignWithMargins="0"/>
  <ignoredErrors>
    <ignoredError sqref="K5:K13 K17:K20 L5:L13 L15:L21" formulaRange="1"/>
    <ignoredError sqref="K14:L14" formula="1"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7">
    <tabColor indexed="46"/>
    <pageSetUpPr fitToPage="1"/>
  </sheetPr>
  <dimension ref="D2:Y55"/>
  <sheetViews>
    <sheetView showGridLines="0" view="pageBreakPreview" zoomScaleNormal="100" zoomScaleSheetLayoutView="100" workbookViewId="0">
      <selection activeCell="N1" sqref="N1"/>
    </sheetView>
  </sheetViews>
  <sheetFormatPr defaultRowHeight="12.75" x14ac:dyDescent="0.2"/>
  <cols>
    <col min="22" max="22" width="5.42578125" customWidth="1"/>
    <col min="23" max="23" width="9.42578125" style="455" customWidth="1"/>
    <col min="24" max="24" width="14.28515625" style="455" customWidth="1"/>
    <col min="25" max="25" width="9.140625" style="455" customWidth="1"/>
  </cols>
  <sheetData>
    <row r="2" spans="4:25" x14ac:dyDescent="0.2">
      <c r="D2">
        <v>2020</v>
      </c>
    </row>
    <row r="4" spans="4:25" x14ac:dyDescent="0.2">
      <c r="X4" s="483" t="s">
        <v>581</v>
      </c>
    </row>
    <row r="5" spans="4:25" x14ac:dyDescent="0.2">
      <c r="X5" s="483" t="s">
        <v>81</v>
      </c>
    </row>
    <row r="6" spans="4:25" x14ac:dyDescent="0.2">
      <c r="X6" s="483"/>
    </row>
    <row r="7" spans="4:25" x14ac:dyDescent="0.2">
      <c r="W7" t="s">
        <v>150</v>
      </c>
      <c r="X7" s="483" t="s">
        <v>184</v>
      </c>
    </row>
    <row r="8" spans="4:25" x14ac:dyDescent="0.2">
      <c r="X8" s="483" t="s">
        <v>151</v>
      </c>
    </row>
    <row r="9" spans="4:25" x14ac:dyDescent="0.2">
      <c r="X9" s="483"/>
    </row>
    <row r="10" spans="4:25" x14ac:dyDescent="0.2">
      <c r="W10" t="s">
        <v>875</v>
      </c>
      <c r="X10" s="485">
        <v>16</v>
      </c>
    </row>
    <row r="11" spans="4:25" x14ac:dyDescent="0.2">
      <c r="W11" t="s">
        <v>876</v>
      </c>
      <c r="X11" s="483" t="str">
        <f>VLOOKUP(X10,W39:X55,2)</f>
        <v>Q4 Fourth Quarter</v>
      </c>
      <c r="Y11" s="630">
        <v>41487</v>
      </c>
    </row>
    <row r="12" spans="4:25" x14ac:dyDescent="0.2">
      <c r="X12" s="483"/>
    </row>
    <row r="13" spans="4:25" x14ac:dyDescent="0.2">
      <c r="X13" s="483"/>
    </row>
    <row r="14" spans="4:25" x14ac:dyDescent="0.2">
      <c r="X14" s="483"/>
    </row>
    <row r="15" spans="4:25" x14ac:dyDescent="0.2">
      <c r="X15" s="483"/>
    </row>
    <row r="16" spans="4:25" x14ac:dyDescent="0.2">
      <c r="X16" s="483"/>
    </row>
    <row r="17" spans="23:24" x14ac:dyDescent="0.2">
      <c r="X17" s="483"/>
    </row>
    <row r="18" spans="23:24" x14ac:dyDescent="0.2">
      <c r="X18" s="483"/>
    </row>
    <row r="19" spans="23:24" x14ac:dyDescent="0.2">
      <c r="W19" t="s">
        <v>152</v>
      </c>
      <c r="X19" s="483">
        <v>2008</v>
      </c>
    </row>
    <row r="20" spans="23:24" x14ac:dyDescent="0.2">
      <c r="X20" s="483">
        <v>2009</v>
      </c>
    </row>
    <row r="21" spans="23:24" x14ac:dyDescent="0.2">
      <c r="X21" s="483">
        <v>2010</v>
      </c>
    </row>
    <row r="22" spans="23:24" x14ac:dyDescent="0.2">
      <c r="X22" s="483">
        <v>2011</v>
      </c>
    </row>
    <row r="23" spans="23:24" x14ac:dyDescent="0.2">
      <c r="X23" s="483">
        <v>2012</v>
      </c>
    </row>
    <row r="24" spans="23:24" x14ac:dyDescent="0.2">
      <c r="X24" s="483">
        <v>2013</v>
      </c>
    </row>
    <row r="25" spans="23:24" x14ac:dyDescent="0.2">
      <c r="X25" s="483">
        <v>2014</v>
      </c>
    </row>
    <row r="26" spans="23:24" x14ac:dyDescent="0.2">
      <c r="X26" s="483">
        <v>2015</v>
      </c>
    </row>
    <row r="27" spans="23:24" x14ac:dyDescent="0.2">
      <c r="X27" s="483">
        <v>2016</v>
      </c>
    </row>
    <row r="28" spans="23:24" x14ac:dyDescent="0.2">
      <c r="X28" s="483">
        <v>2017</v>
      </c>
    </row>
    <row r="29" spans="23:24" x14ac:dyDescent="0.2">
      <c r="X29" s="483">
        <v>2018</v>
      </c>
    </row>
    <row r="30" spans="23:24" x14ac:dyDescent="0.2">
      <c r="X30" s="483">
        <v>2019</v>
      </c>
    </row>
    <row r="31" spans="23:24" x14ac:dyDescent="0.2">
      <c r="X31" s="483">
        <v>2020</v>
      </c>
    </row>
    <row r="32" spans="23:24" x14ac:dyDescent="0.2">
      <c r="X32" s="483">
        <v>2021</v>
      </c>
    </row>
    <row r="33" spans="22:25" x14ac:dyDescent="0.2">
      <c r="X33" s="483">
        <v>2022</v>
      </c>
    </row>
    <row r="34" spans="22:25" x14ac:dyDescent="0.2">
      <c r="W34" t="s">
        <v>153</v>
      </c>
      <c r="X34" s="483"/>
    </row>
    <row r="35" spans="22:25" x14ac:dyDescent="0.2">
      <c r="W35" t="s">
        <v>154</v>
      </c>
      <c r="X35" s="483">
        <v>11</v>
      </c>
    </row>
    <row r="36" spans="22:25" x14ac:dyDescent="0.2">
      <c r="X36" s="486">
        <f>INDEX(X19:X33,X35,1)</f>
        <v>2018</v>
      </c>
    </row>
    <row r="37" spans="22:25" x14ac:dyDescent="0.2">
      <c r="W37" t="s">
        <v>155</v>
      </c>
    </row>
    <row r="38" spans="22:25" x14ac:dyDescent="0.2">
      <c r="X38" s="484" t="str">
        <f>MTREF&amp;"/"&amp;RIGHT(MTREF,2)+1</f>
        <v>2018/19</v>
      </c>
    </row>
    <row r="39" spans="22:25" x14ac:dyDescent="0.2">
      <c r="V39" t="s">
        <v>869</v>
      </c>
      <c r="W39">
        <v>1</v>
      </c>
      <c r="X39" t="s">
        <v>871</v>
      </c>
      <c r="Y39" s="629"/>
    </row>
    <row r="40" spans="22:25" x14ac:dyDescent="0.2">
      <c r="W40">
        <v>2</v>
      </c>
      <c r="X40" t="s">
        <v>872</v>
      </c>
      <c r="Y40" s="629"/>
    </row>
    <row r="41" spans="22:25" x14ac:dyDescent="0.2">
      <c r="W41">
        <v>3</v>
      </c>
      <c r="X41" t="s">
        <v>877</v>
      </c>
    </row>
    <row r="42" spans="22:25" x14ac:dyDescent="0.2">
      <c r="W42">
        <v>4</v>
      </c>
      <c r="X42" t="s">
        <v>878</v>
      </c>
    </row>
    <row r="43" spans="22:25" x14ac:dyDescent="0.2">
      <c r="W43">
        <v>5</v>
      </c>
      <c r="X43" t="s">
        <v>879</v>
      </c>
    </row>
    <row r="44" spans="22:25" x14ac:dyDescent="0.2">
      <c r="W44">
        <v>6</v>
      </c>
      <c r="X44" t="s">
        <v>880</v>
      </c>
    </row>
    <row r="45" spans="22:25" x14ac:dyDescent="0.2">
      <c r="W45">
        <v>7</v>
      </c>
      <c r="X45" t="s">
        <v>881</v>
      </c>
    </row>
    <row r="46" spans="22:25" x14ac:dyDescent="0.2">
      <c r="W46">
        <v>8</v>
      </c>
      <c r="X46" t="s">
        <v>882</v>
      </c>
    </row>
    <row r="47" spans="22:25" x14ac:dyDescent="0.2">
      <c r="W47">
        <v>9</v>
      </c>
      <c r="X47" t="s">
        <v>883</v>
      </c>
    </row>
    <row r="48" spans="22:25" x14ac:dyDescent="0.2">
      <c r="W48">
        <v>10</v>
      </c>
      <c r="X48" t="s">
        <v>884</v>
      </c>
    </row>
    <row r="49" spans="23:24" x14ac:dyDescent="0.2">
      <c r="W49">
        <v>11</v>
      </c>
      <c r="X49" t="s">
        <v>885</v>
      </c>
    </row>
    <row r="50" spans="23:24" x14ac:dyDescent="0.2">
      <c r="W50">
        <v>12</v>
      </c>
      <c r="X50" t="s">
        <v>886</v>
      </c>
    </row>
    <row r="51" spans="23:24" x14ac:dyDescent="0.2">
      <c r="W51">
        <v>13</v>
      </c>
      <c r="X51" t="s">
        <v>873</v>
      </c>
    </row>
    <row r="52" spans="23:24" x14ac:dyDescent="0.2">
      <c r="W52">
        <v>14</v>
      </c>
      <c r="X52" t="s">
        <v>874</v>
      </c>
    </row>
    <row r="53" spans="23:24" x14ac:dyDescent="0.2">
      <c r="W53">
        <v>15</v>
      </c>
      <c r="X53" t="s">
        <v>887</v>
      </c>
    </row>
    <row r="54" spans="23:24" x14ac:dyDescent="0.2">
      <c r="W54">
        <v>16</v>
      </c>
      <c r="X54" t="s">
        <v>888</v>
      </c>
    </row>
    <row r="55" spans="23:24" x14ac:dyDescent="0.2">
      <c r="W55">
        <v>17</v>
      </c>
      <c r="X55" t="s">
        <v>870</v>
      </c>
    </row>
  </sheetData>
  <sheetProtection sheet="1" objects="1" scenarios="1"/>
  <phoneticPr fontId="3" type="noConversion"/>
  <printOptions horizontalCentered="1"/>
  <pageMargins left="0.19685039370078741" right="0.19685039370078741" top="0.59055118110236227" bottom="0.59055118110236227" header="0.51181102362204722" footer="0.51181102362204722"/>
  <pageSetup paperSize="9" scale="86" orientation="portrait" horizontalDpi="200" verticalDpi="200" r:id="rId1"/>
  <headerFooter alignWithMargins="0"/>
  <drawing r:id="rId2"/>
  <legacyDrawing r:id="rId3"/>
  <controls>
    <mc:AlternateContent xmlns:mc="http://schemas.openxmlformats.org/markup-compatibility/2006">
      <mc:Choice Requires="x14">
        <control shapeId="142364" r:id="rId4" name="ToggleHiddenColumns">
          <controlPr defaultSize="0" autoLine="0" r:id="rId5">
            <anchor moveWithCells="1">
              <from>
                <xdr:col>1</xdr:col>
                <xdr:colOff>152400</xdr:colOff>
                <xdr:row>43</xdr:row>
                <xdr:rowOff>9525</xdr:rowOff>
              </from>
              <to>
                <xdr:col>5</xdr:col>
                <xdr:colOff>133350</xdr:colOff>
                <xdr:row>45</xdr:row>
                <xdr:rowOff>9525</xdr:rowOff>
              </to>
            </anchor>
          </controlPr>
        </control>
      </mc:Choice>
      <mc:Fallback>
        <control shapeId="142364" r:id="rId4" name="ToggleHiddenColumns"/>
      </mc:Fallback>
    </mc:AlternateContent>
    <mc:AlternateContent xmlns:mc="http://schemas.openxmlformats.org/markup-compatibility/2006">
      <mc:Choice Requires="x14">
        <control shapeId="142363" r:id="rId6" name="TogglePreAuditColums">
          <controlPr defaultSize="0" autoLine="0" r:id="rId7">
            <anchor moveWithCells="1">
              <from>
                <xdr:col>1</xdr:col>
                <xdr:colOff>152400</xdr:colOff>
                <xdr:row>38</xdr:row>
                <xdr:rowOff>47625</xdr:rowOff>
              </from>
              <to>
                <xdr:col>5</xdr:col>
                <xdr:colOff>133350</xdr:colOff>
                <xdr:row>40</xdr:row>
                <xdr:rowOff>38100</xdr:rowOff>
              </to>
            </anchor>
          </controlPr>
        </control>
      </mc:Choice>
      <mc:Fallback>
        <control shapeId="142363" r:id="rId6" name="TogglePreAuditColums"/>
      </mc:Fallback>
    </mc:AlternateContent>
    <mc:AlternateContent xmlns:mc="http://schemas.openxmlformats.org/markup-compatibility/2006">
      <mc:Choice Requires="x14">
        <control shapeId="142362" r:id="rId8" name="ToggleReferenceColumns">
          <controlPr defaultSize="0" autoLine="0" r:id="rId9">
            <anchor moveWithCells="1">
              <from>
                <xdr:col>1</xdr:col>
                <xdr:colOff>152400</xdr:colOff>
                <xdr:row>35</xdr:row>
                <xdr:rowOff>133350</xdr:rowOff>
              </from>
              <to>
                <xdr:col>5</xdr:col>
                <xdr:colOff>133350</xdr:colOff>
                <xdr:row>37</xdr:row>
                <xdr:rowOff>133350</xdr:rowOff>
              </to>
            </anchor>
          </controlPr>
        </control>
      </mc:Choice>
      <mc:Fallback>
        <control shapeId="142362" r:id="rId8" name="ToggleReferenceColumns"/>
      </mc:Fallback>
    </mc:AlternateContent>
    <mc:AlternateContent xmlns:mc="http://schemas.openxmlformats.org/markup-compatibility/2006">
      <mc:Choice Requires="x14">
        <control shapeId="142361" r:id="rId10" name="TextBox6">
          <controlPr defaultSize="0" autoLine="0" linkedCell="Contacts!B74" r:id="rId11">
            <anchor moveWithCells="1">
              <from>
                <xdr:col>9</xdr:col>
                <xdr:colOff>57150</xdr:colOff>
                <xdr:row>9</xdr:row>
                <xdr:rowOff>142875</xdr:rowOff>
              </from>
              <to>
                <xdr:col>11</xdr:col>
                <xdr:colOff>247650</xdr:colOff>
                <xdr:row>11</xdr:row>
                <xdr:rowOff>76200</xdr:rowOff>
              </to>
            </anchor>
          </controlPr>
        </control>
      </mc:Choice>
      <mc:Fallback>
        <control shapeId="142361" r:id="rId10" name="TextBox6"/>
      </mc:Fallback>
    </mc:AlternateContent>
    <mc:AlternateContent xmlns:mc="http://schemas.openxmlformats.org/markup-compatibility/2006">
      <mc:Choice Requires="x14">
        <control shapeId="142360" r:id="rId12" name="TextBox5">
          <controlPr defaultSize="0" autoLine="0" linkedCell="Contacts!B75" r:id="rId13">
            <anchor moveWithCells="1">
              <from>
                <xdr:col>5</xdr:col>
                <xdr:colOff>219075</xdr:colOff>
                <xdr:row>12</xdr:row>
                <xdr:rowOff>28575</xdr:rowOff>
              </from>
              <to>
                <xdr:col>11</xdr:col>
                <xdr:colOff>247650</xdr:colOff>
                <xdr:row>13</xdr:row>
                <xdr:rowOff>123825</xdr:rowOff>
              </to>
            </anchor>
          </controlPr>
        </control>
      </mc:Choice>
      <mc:Fallback>
        <control shapeId="142360" r:id="rId12" name="TextBox5"/>
      </mc:Fallback>
    </mc:AlternateContent>
    <mc:AlternateContent xmlns:mc="http://schemas.openxmlformats.org/markup-compatibility/2006">
      <mc:Choice Requires="x14">
        <control shapeId="142359" r:id="rId14" name="TextBox4">
          <controlPr defaultSize="0" autoLine="0" linkedCell="Contacts!B72" r:id="rId15">
            <anchor moveWithCells="1">
              <from>
                <xdr:col>5</xdr:col>
                <xdr:colOff>219075</xdr:colOff>
                <xdr:row>9</xdr:row>
                <xdr:rowOff>133350</xdr:rowOff>
              </from>
              <to>
                <xdr:col>7</xdr:col>
                <xdr:colOff>552450</xdr:colOff>
                <xdr:row>11</xdr:row>
                <xdr:rowOff>66675</xdr:rowOff>
              </to>
            </anchor>
          </controlPr>
        </control>
      </mc:Choice>
      <mc:Fallback>
        <control shapeId="142359" r:id="rId14" name="TextBox4"/>
      </mc:Fallback>
    </mc:AlternateContent>
    <mc:AlternateContent xmlns:mc="http://schemas.openxmlformats.org/markup-compatibility/2006">
      <mc:Choice Requires="x14">
        <control shapeId="142358" r:id="rId16" name="TextBox3">
          <controlPr defaultSize="0" autoLine="0" linkedCell="Contacts!B71" r:id="rId17">
            <anchor moveWithCells="1">
              <from>
                <xdr:col>5</xdr:col>
                <xdr:colOff>219075</xdr:colOff>
                <xdr:row>7</xdr:row>
                <xdr:rowOff>47625</xdr:rowOff>
              </from>
              <to>
                <xdr:col>11</xdr:col>
                <xdr:colOff>247650</xdr:colOff>
                <xdr:row>8</xdr:row>
                <xdr:rowOff>142875</xdr:rowOff>
              </to>
            </anchor>
          </controlPr>
        </control>
      </mc:Choice>
      <mc:Fallback>
        <control shapeId="142358" r:id="rId16" name="TextBox3"/>
      </mc:Fallback>
    </mc:AlternateContent>
    <mc:AlternateContent xmlns:mc="http://schemas.openxmlformats.org/markup-compatibility/2006">
      <mc:Choice Requires="x14">
        <control shapeId="142354" r:id="rId18" name="Drop Down 18">
          <controlPr defaultSize="0" autoLine="0" autoPict="0">
            <anchor moveWithCells="1">
              <from>
                <xdr:col>5</xdr:col>
                <xdr:colOff>219075</xdr:colOff>
                <xdr:row>20</xdr:row>
                <xdr:rowOff>28575</xdr:rowOff>
              </from>
              <to>
                <xdr:col>6</xdr:col>
                <xdr:colOff>495300</xdr:colOff>
                <xdr:row>21</xdr:row>
                <xdr:rowOff>133350</xdr:rowOff>
              </to>
            </anchor>
          </controlPr>
        </control>
      </mc:Choice>
    </mc:AlternateContent>
    <mc:AlternateContent xmlns:mc="http://schemas.openxmlformats.org/markup-compatibility/2006">
      <mc:Choice Requires="x14">
        <control shapeId="142355" r:id="rId19" name="Drop Down 19">
          <controlPr defaultSize="0" autoLine="0" autoPict="0">
            <anchor moveWithCells="1">
              <from>
                <xdr:col>5</xdr:col>
                <xdr:colOff>219075</xdr:colOff>
                <xdr:row>22</xdr:row>
                <xdr:rowOff>123825</xdr:rowOff>
              </from>
              <to>
                <xdr:col>7</xdr:col>
                <xdr:colOff>600075</xdr:colOff>
                <xdr:row>24</xdr:row>
                <xdr:rowOff>47625</xdr:rowOff>
              </to>
            </anchor>
          </controlPr>
        </control>
      </mc:Choice>
    </mc:AlternateContent>
    <mc:AlternateContent xmlns:mc="http://schemas.openxmlformats.org/markup-compatibility/2006">
      <mc:Choice Requires="x14">
        <control shapeId="142356" r:id="rId20" name="Drop Down 20">
          <controlPr defaultSize="0" autoLine="0" autoPict="0">
            <anchor moveWithCells="1">
              <from>
                <xdr:col>5</xdr:col>
                <xdr:colOff>219075</xdr:colOff>
                <xdr:row>17</xdr:row>
                <xdr:rowOff>57150</xdr:rowOff>
              </from>
              <to>
                <xdr:col>7</xdr:col>
                <xdr:colOff>238125</xdr:colOff>
                <xdr:row>18</xdr:row>
                <xdr:rowOff>161925</xdr:rowOff>
              </to>
            </anchor>
          </controlPr>
        </control>
      </mc:Choice>
    </mc:AlternateContent>
    <mc:AlternateContent xmlns:mc="http://schemas.openxmlformats.org/markup-compatibility/2006">
      <mc:Choice Requires="x14">
        <control shapeId="142373" r:id="rId21" name="Drop Down 37">
          <controlPr defaultSize="0" autoLine="0" autoPict="0">
            <anchor moveWithCells="1">
              <from>
                <xdr:col>5</xdr:col>
                <xdr:colOff>228600</xdr:colOff>
                <xdr:row>4</xdr:row>
                <xdr:rowOff>104775</xdr:rowOff>
              </from>
              <to>
                <xdr:col>11</xdr:col>
                <xdr:colOff>238125</xdr:colOff>
                <xdr:row>6</xdr:row>
                <xdr:rowOff>28575</xdr:rowOff>
              </to>
            </anchor>
          </controlPr>
        </control>
      </mc:Choice>
    </mc:AlternateContent>
    <mc:AlternateContent xmlns:mc="http://schemas.openxmlformats.org/markup-compatibility/2006">
      <mc:Choice Requires="x14">
        <control shapeId="142375" r:id="rId22" name="Drop Down 39">
          <controlPr defaultSize="0" autoLine="0" autoPict="0">
            <anchor moveWithCells="1">
              <from>
                <xdr:col>5</xdr:col>
                <xdr:colOff>219075</xdr:colOff>
                <xdr:row>14</xdr:row>
                <xdr:rowOff>142875</xdr:rowOff>
              </from>
              <to>
                <xdr:col>7</xdr:col>
                <xdr:colOff>238125</xdr:colOff>
                <xdr:row>16</xdr:row>
                <xdr:rowOff>76200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9">
    <tabColor indexed="42"/>
    <pageSetUpPr fitToPage="1"/>
  </sheetPr>
  <dimension ref="A1:L18"/>
  <sheetViews>
    <sheetView showGridLines="0" view="pageBreakPreview" zoomScale="110" zoomScaleNormal="100" zoomScaleSheetLayoutView="110" workbookViewId="0">
      <pane ySplit="4" topLeftCell="A5" activePane="bottomLeft" state="frozen"/>
      <selection pane="bottomLeft" activeCell="D18" sqref="D18"/>
    </sheetView>
  </sheetViews>
  <sheetFormatPr defaultColWidth="9.140625" defaultRowHeight="21.75" customHeight="1" x14ac:dyDescent="0.25"/>
  <cols>
    <col min="1" max="1" width="48.42578125" style="22" customWidth="1"/>
    <col min="2" max="2" width="5.140625" style="22" bestFit="1" customWidth="1"/>
    <col min="3" max="11" width="8.7109375" style="22" customWidth="1"/>
    <col min="12" max="12" width="11.7109375" style="22" customWidth="1"/>
    <col min="13" max="16384" width="9.140625" style="22"/>
  </cols>
  <sheetData>
    <row r="1" spans="1:12" ht="15.6" customHeight="1" x14ac:dyDescent="0.25">
      <c r="A1" s="313" t="str">
        <f>muni&amp; " - "&amp;S71J&amp; " - "&amp;Head57</f>
        <v>WC025 Breede Valley - Supporting Table SC4 Monthly Budget Statement - aged creditors  - Q4 Fourth Quarter</v>
      </c>
      <c r="B1" s="893"/>
      <c r="C1" s="893"/>
      <c r="D1" s="893"/>
      <c r="E1" s="893"/>
      <c r="F1" s="893"/>
      <c r="G1" s="893"/>
      <c r="H1" s="893"/>
      <c r="I1" s="893"/>
      <c r="J1" s="893"/>
      <c r="K1" s="893"/>
      <c r="L1" s="288"/>
    </row>
    <row r="2" spans="1:12" ht="12.75" customHeight="1" x14ac:dyDescent="0.25">
      <c r="A2" s="980" t="str">
        <f>desc</f>
        <v>Description</v>
      </c>
      <c r="B2" s="1014" t="s">
        <v>747</v>
      </c>
      <c r="C2" s="113" t="str">
        <f>Head2</f>
        <v>Budget Year 2018/19</v>
      </c>
      <c r="D2" s="113"/>
      <c r="E2" s="113"/>
      <c r="F2" s="113"/>
      <c r="G2" s="113"/>
      <c r="H2" s="113"/>
      <c r="I2" s="113"/>
      <c r="J2" s="113"/>
      <c r="K2" s="114"/>
      <c r="L2" s="1021" t="s">
        <v>78</v>
      </c>
    </row>
    <row r="3" spans="1:12" ht="12.75" customHeight="1" x14ac:dyDescent="0.25">
      <c r="A3" s="1013"/>
      <c r="B3" s="1015"/>
      <c r="C3" s="1017" t="s">
        <v>739</v>
      </c>
      <c r="D3" s="1019" t="s">
        <v>740</v>
      </c>
      <c r="E3" s="1019" t="s">
        <v>741</v>
      </c>
      <c r="F3" s="1019" t="s">
        <v>742</v>
      </c>
      <c r="G3" s="1019" t="s">
        <v>743</v>
      </c>
      <c r="H3" s="1019" t="s">
        <v>744</v>
      </c>
      <c r="I3" s="1019" t="s">
        <v>745</v>
      </c>
      <c r="J3" s="1024" t="s">
        <v>746</v>
      </c>
      <c r="K3" s="1026" t="s">
        <v>512</v>
      </c>
      <c r="L3" s="1022"/>
    </row>
    <row r="4" spans="1:12" ht="12.75" customHeight="1" x14ac:dyDescent="0.25">
      <c r="A4" s="31" t="s">
        <v>678</v>
      </c>
      <c r="B4" s="1016"/>
      <c r="C4" s="1018"/>
      <c r="D4" s="1020"/>
      <c r="E4" s="1020"/>
      <c r="F4" s="1020"/>
      <c r="G4" s="1020"/>
      <c r="H4" s="1020"/>
      <c r="I4" s="1020"/>
      <c r="J4" s="1025"/>
      <c r="K4" s="1016"/>
      <c r="L4" s="1023"/>
    </row>
    <row r="5" spans="1:12" ht="12.75" customHeight="1" x14ac:dyDescent="0.25">
      <c r="A5" s="77" t="s">
        <v>674</v>
      </c>
      <c r="B5" s="142"/>
      <c r="C5" s="242"/>
      <c r="D5" s="138"/>
      <c r="E5" s="138"/>
      <c r="F5" s="138"/>
      <c r="G5" s="138"/>
      <c r="H5" s="138"/>
      <c r="I5" s="138"/>
      <c r="J5" s="158"/>
      <c r="K5" s="139"/>
      <c r="L5" s="139"/>
    </row>
    <row r="6" spans="1:12" ht="12.75" customHeight="1" x14ac:dyDescent="0.25">
      <c r="A6" s="36" t="s">
        <v>697</v>
      </c>
      <c r="B6" s="142" t="s">
        <v>698</v>
      </c>
      <c r="C6" s="531">
        <v>31179404.559999999</v>
      </c>
      <c r="D6" s="329"/>
      <c r="E6" s="329"/>
      <c r="F6" s="329"/>
      <c r="G6" s="329"/>
      <c r="H6" s="329"/>
      <c r="I6" s="329"/>
      <c r="J6" s="517"/>
      <c r="K6" s="91">
        <f>SUM(C6:J6)</f>
        <v>31179404.559999999</v>
      </c>
      <c r="L6" s="526"/>
    </row>
    <row r="7" spans="1:12" ht="12.75" customHeight="1" x14ac:dyDescent="0.25">
      <c r="A7" s="36" t="s">
        <v>699</v>
      </c>
      <c r="B7" s="142" t="s">
        <v>700</v>
      </c>
      <c r="C7" s="531">
        <v>461077.64</v>
      </c>
      <c r="D7" s="329"/>
      <c r="E7" s="329"/>
      <c r="F7" s="329"/>
      <c r="G7" s="329"/>
      <c r="H7" s="329"/>
      <c r="I7" s="329"/>
      <c r="J7" s="517"/>
      <c r="K7" s="91">
        <f t="shared" ref="K7:K13" si="0">SUM(C7:J7)</f>
        <v>461077.64</v>
      </c>
      <c r="L7" s="526"/>
    </row>
    <row r="8" spans="1:12" ht="12.75" customHeight="1" x14ac:dyDescent="0.25">
      <c r="A8" s="36" t="s">
        <v>701</v>
      </c>
      <c r="B8" s="142" t="s">
        <v>702</v>
      </c>
      <c r="C8" s="531"/>
      <c r="D8" s="329"/>
      <c r="E8" s="329"/>
      <c r="F8" s="329"/>
      <c r="G8" s="329"/>
      <c r="H8" s="329"/>
      <c r="I8" s="329"/>
      <c r="J8" s="517"/>
      <c r="K8" s="91">
        <f t="shared" si="0"/>
        <v>0</v>
      </c>
      <c r="L8" s="526"/>
    </row>
    <row r="9" spans="1:12" ht="12.75" customHeight="1" x14ac:dyDescent="0.25">
      <c r="A9" s="36" t="s">
        <v>603</v>
      </c>
      <c r="B9" s="142" t="s">
        <v>604</v>
      </c>
      <c r="C9" s="531">
        <v>4676910.6900000013</v>
      </c>
      <c r="D9" s="329"/>
      <c r="E9" s="329"/>
      <c r="F9" s="329"/>
      <c r="G9" s="329"/>
      <c r="H9" s="329"/>
      <c r="I9" s="329"/>
      <c r="J9" s="517"/>
      <c r="K9" s="91">
        <f t="shared" si="0"/>
        <v>4676910.6900000013</v>
      </c>
      <c r="L9" s="526"/>
    </row>
    <row r="10" spans="1:12" ht="12.75" customHeight="1" x14ac:dyDescent="0.25">
      <c r="A10" s="36" t="s">
        <v>605</v>
      </c>
      <c r="B10" s="142" t="s">
        <v>606</v>
      </c>
      <c r="C10" s="531"/>
      <c r="D10" s="329"/>
      <c r="E10" s="329"/>
      <c r="F10" s="329"/>
      <c r="G10" s="329"/>
      <c r="H10" s="329"/>
      <c r="I10" s="329"/>
      <c r="J10" s="517"/>
      <c r="K10" s="91">
        <f t="shared" si="0"/>
        <v>0</v>
      </c>
      <c r="L10" s="526"/>
    </row>
    <row r="11" spans="1:12" ht="12.75" customHeight="1" x14ac:dyDescent="0.25">
      <c r="A11" s="36" t="s">
        <v>607</v>
      </c>
      <c r="B11" s="142" t="s">
        <v>608</v>
      </c>
      <c r="C11" s="531"/>
      <c r="D11" s="329"/>
      <c r="E11" s="329"/>
      <c r="F11" s="329"/>
      <c r="G11" s="329"/>
      <c r="H11" s="329"/>
      <c r="I11" s="329"/>
      <c r="J11" s="517"/>
      <c r="K11" s="91">
        <f t="shared" si="0"/>
        <v>0</v>
      </c>
      <c r="L11" s="526"/>
    </row>
    <row r="12" spans="1:12" ht="12.75" customHeight="1" x14ac:dyDescent="0.25">
      <c r="A12" s="36" t="s">
        <v>609</v>
      </c>
      <c r="B12" s="142" t="s">
        <v>610</v>
      </c>
      <c r="C12" s="531">
        <v>8121133.7300000079</v>
      </c>
      <c r="D12" s="329"/>
      <c r="E12" s="329"/>
      <c r="F12" s="329"/>
      <c r="G12" s="329"/>
      <c r="H12" s="329"/>
      <c r="I12" s="329"/>
      <c r="J12" s="517"/>
      <c r="K12" s="91">
        <f t="shared" si="0"/>
        <v>8121133.7300000079</v>
      </c>
      <c r="L12" s="526"/>
    </row>
    <row r="13" spans="1:12" ht="12.75" customHeight="1" x14ac:dyDescent="0.25">
      <c r="A13" s="36" t="s">
        <v>611</v>
      </c>
      <c r="B13" s="142" t="s">
        <v>612</v>
      </c>
      <c r="C13" s="531"/>
      <c r="D13" s="329"/>
      <c r="E13" s="329"/>
      <c r="F13" s="329"/>
      <c r="G13" s="329"/>
      <c r="H13" s="329"/>
      <c r="I13" s="329"/>
      <c r="J13" s="517"/>
      <c r="K13" s="91">
        <f t="shared" si="0"/>
        <v>0</v>
      </c>
      <c r="L13" s="526"/>
    </row>
    <row r="14" spans="1:12" ht="12.75" customHeight="1" x14ac:dyDescent="0.25">
      <c r="A14" s="36" t="s">
        <v>731</v>
      </c>
      <c r="B14" s="142" t="s">
        <v>613</v>
      </c>
      <c r="C14" s="531">
        <v>67343556.390000015</v>
      </c>
      <c r="D14" s="329"/>
      <c r="E14" s="329"/>
      <c r="F14" s="329"/>
      <c r="G14" s="329"/>
      <c r="H14" s="329"/>
      <c r="I14" s="329"/>
      <c r="J14" s="517"/>
      <c r="K14" s="91">
        <f>SUM(C14:J14)</f>
        <v>67343556.390000015</v>
      </c>
      <c r="L14" s="526"/>
    </row>
    <row r="15" spans="1:12" ht="12.75" customHeight="1" x14ac:dyDescent="0.25">
      <c r="A15" s="49" t="s">
        <v>934</v>
      </c>
      <c r="B15" s="240">
        <v>1000</v>
      </c>
      <c r="C15" s="230">
        <f>SUM(C6:C14)</f>
        <v>111782083.01000002</v>
      </c>
      <c r="D15" s="51">
        <f t="shared" ref="D15:J15" si="1">SUM(D6:D14)</f>
        <v>0</v>
      </c>
      <c r="E15" s="51">
        <f t="shared" si="1"/>
        <v>0</v>
      </c>
      <c r="F15" s="51">
        <f t="shared" si="1"/>
        <v>0</v>
      </c>
      <c r="G15" s="51">
        <f t="shared" si="1"/>
        <v>0</v>
      </c>
      <c r="H15" s="51">
        <f t="shared" si="1"/>
        <v>0</v>
      </c>
      <c r="I15" s="51">
        <f t="shared" si="1"/>
        <v>0</v>
      </c>
      <c r="J15" s="198">
        <f t="shared" si="1"/>
        <v>0</v>
      </c>
      <c r="K15" s="94">
        <f>SUM(K6:K14)</f>
        <v>111782083.01000002</v>
      </c>
      <c r="L15" s="133">
        <f>SUM(L6:L14)</f>
        <v>0</v>
      </c>
    </row>
    <row r="16" spans="1:12" ht="12.75" customHeight="1" x14ac:dyDescent="0.25">
      <c r="A16" s="680" t="s">
        <v>799</v>
      </c>
      <c r="B16" s="140"/>
      <c r="C16" s="45"/>
      <c r="D16" s="45"/>
      <c r="E16" s="45"/>
      <c r="F16" s="45"/>
      <c r="G16" s="45"/>
      <c r="H16" s="45"/>
      <c r="I16" s="45"/>
      <c r="J16" s="45"/>
      <c r="K16" s="45"/>
      <c r="L16" s="151"/>
    </row>
    <row r="17" spans="1:12" ht="12.75" customHeight="1" x14ac:dyDescent="0.25">
      <c r="A17" s="78" t="s">
        <v>631</v>
      </c>
      <c r="L17" s="151"/>
    </row>
    <row r="18" spans="1:12" ht="12.75" x14ac:dyDescent="0.25">
      <c r="A18" s="80"/>
      <c r="B18" s="286"/>
      <c r="C18" s="286"/>
      <c r="D18" s="286"/>
      <c r="E18" s="286"/>
      <c r="F18" s="286"/>
      <c r="G18" s="286"/>
      <c r="H18" s="286"/>
      <c r="I18" s="286"/>
      <c r="J18" s="286"/>
      <c r="K18" s="286"/>
      <c r="L18" s="29"/>
    </row>
  </sheetData>
  <sheetProtection sheet="1" objects="1" scenarios="1"/>
  <mergeCells count="12">
    <mergeCell ref="A2:A3"/>
    <mergeCell ref="B2:B4"/>
    <mergeCell ref="C3:C4"/>
    <mergeCell ref="D3:D4"/>
    <mergeCell ref="L2:L4"/>
    <mergeCell ref="I3:I4"/>
    <mergeCell ref="J3:J4"/>
    <mergeCell ref="K3:K4"/>
    <mergeCell ref="E3:E4"/>
    <mergeCell ref="F3:F4"/>
    <mergeCell ref="G3:G4"/>
    <mergeCell ref="H3:H4"/>
  </mergeCells>
  <phoneticPr fontId="3" type="noConversion"/>
  <printOptions horizontalCentered="1"/>
  <pageMargins left="0.19685039370078741" right="0.19685039370078741" top="0.59055118110236215" bottom="0.59055118110236215" header="0.51181102362204722" footer="0.39370078740157483"/>
  <pageSetup paperSize="9" orientation="landscape" r:id="rId1"/>
  <headerFooter alignWithMargins="0"/>
  <ignoredErrors>
    <ignoredError sqref="B6:B1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0">
    <tabColor indexed="42"/>
    <pageSetUpPr fitToPage="1"/>
  </sheetPr>
  <dimension ref="A1:J67"/>
  <sheetViews>
    <sheetView showGridLines="0" view="pageBreakPreview" zoomScaleNormal="100" zoomScaleSheetLayoutView="100" workbookViewId="0">
      <pane xSplit="1" ySplit="3" topLeftCell="B37" activePane="bottomRight" state="frozen"/>
      <selection pane="topRight"/>
      <selection pane="bottomLeft"/>
      <selection pane="bottomRight" activeCell="H64" sqref="H64"/>
    </sheetView>
  </sheetViews>
  <sheetFormatPr defaultColWidth="9.140625" defaultRowHeight="12.75" x14ac:dyDescent="0.25"/>
  <cols>
    <col min="1" max="1" width="34.140625" style="22" customWidth="1"/>
    <col min="2" max="2" width="3.5703125" style="54" customWidth="1"/>
    <col min="3" max="3" width="8.7109375" style="22" customWidth="1"/>
    <col min="4" max="4" width="9.7109375" style="22" bestFit="1" customWidth="1"/>
    <col min="5" max="10" width="8.7109375" style="22" customWidth="1"/>
    <col min="11" max="12" width="9.5703125" style="22" customWidth="1"/>
    <col min="13" max="13" width="9.85546875" style="22" customWidth="1"/>
    <col min="14" max="16" width="9.5703125" style="22" customWidth="1"/>
    <col min="17" max="18" width="9.85546875" style="22" customWidth="1"/>
    <col min="19" max="16384" width="9.140625" style="22"/>
  </cols>
  <sheetData>
    <row r="1" spans="1:10" ht="13.5" x14ac:dyDescent="0.25">
      <c r="A1" s="991" t="str">
        <f>muni&amp; " - "&amp;S71K&amp; " - "&amp;Head57</f>
        <v>WC025 Breede Valley - Supporting Table SC5 Monthly Budget Statement - investment portfolio  - Q4 Fourth Quarter</v>
      </c>
      <c r="B1" s="992"/>
      <c r="C1" s="992"/>
      <c r="D1" s="992"/>
      <c r="E1" s="992"/>
      <c r="F1" s="992"/>
      <c r="G1" s="992"/>
      <c r="H1" s="992"/>
      <c r="I1" s="992"/>
      <c r="J1" s="993"/>
    </row>
    <row r="2" spans="1:10" ht="54" customHeight="1" x14ac:dyDescent="0.25">
      <c r="A2" s="229" t="s">
        <v>908</v>
      </c>
      <c r="B2" s="1014" t="s">
        <v>582</v>
      </c>
      <c r="C2" s="23" t="s">
        <v>127</v>
      </c>
      <c r="D2" s="1027" t="s">
        <v>618</v>
      </c>
      <c r="E2" s="1027" t="s">
        <v>619</v>
      </c>
      <c r="F2" s="1027" t="s">
        <v>548</v>
      </c>
      <c r="G2" s="1027" t="s">
        <v>65</v>
      </c>
      <c r="H2" s="1027" t="s">
        <v>549</v>
      </c>
      <c r="I2" s="1027" t="s">
        <v>903</v>
      </c>
      <c r="J2" s="1029" t="s">
        <v>904</v>
      </c>
    </row>
    <row r="3" spans="1:10" ht="12.75" customHeight="1" x14ac:dyDescent="0.25">
      <c r="A3" s="31" t="s">
        <v>678</v>
      </c>
      <c r="B3" s="1016"/>
      <c r="C3" s="344" t="s">
        <v>128</v>
      </c>
      <c r="D3" s="1028"/>
      <c r="E3" s="1028"/>
      <c r="F3" s="1028"/>
      <c r="G3" s="1028"/>
      <c r="H3" s="1028"/>
      <c r="I3" s="1028"/>
      <c r="J3" s="1030"/>
    </row>
    <row r="4" spans="1:10" ht="12.75" customHeight="1" x14ac:dyDescent="0.25">
      <c r="A4" s="32" t="s">
        <v>345</v>
      </c>
      <c r="B4" s="142"/>
      <c r="C4" s="427"/>
      <c r="D4" s="419"/>
      <c r="E4" s="419"/>
      <c r="F4" s="419"/>
      <c r="G4" s="419"/>
      <c r="H4" s="419"/>
      <c r="I4" s="419"/>
      <c r="J4" s="420"/>
    </row>
    <row r="5" spans="1:10" ht="12.75" customHeight="1" x14ac:dyDescent="0.25">
      <c r="A5" s="538" t="s">
        <v>1517</v>
      </c>
      <c r="B5" s="142"/>
      <c r="C5" s="328" t="s">
        <v>1518</v>
      </c>
      <c r="D5" s="329" t="s">
        <v>1519</v>
      </c>
      <c r="E5" s="329" t="s">
        <v>1520</v>
      </c>
      <c r="F5" s="329">
        <v>0</v>
      </c>
      <c r="G5" s="536"/>
      <c r="H5" s="329">
        <v>5000000</v>
      </c>
      <c r="I5" s="329">
        <v>5000000</v>
      </c>
      <c r="J5" s="517">
        <v>0</v>
      </c>
    </row>
    <row r="6" spans="1:10" ht="12.75" customHeight="1" x14ac:dyDescent="0.25">
      <c r="A6" s="538" t="s">
        <v>1521</v>
      </c>
      <c r="B6" s="142"/>
      <c r="C6" s="328" t="s">
        <v>1518</v>
      </c>
      <c r="D6" s="329" t="s">
        <v>1519</v>
      </c>
      <c r="E6" s="329" t="s">
        <v>1520</v>
      </c>
      <c r="F6" s="329">
        <v>0</v>
      </c>
      <c r="G6" s="536"/>
      <c r="H6" s="329">
        <v>5000000</v>
      </c>
      <c r="I6" s="329">
        <v>5000000</v>
      </c>
      <c r="J6" s="517">
        <v>0</v>
      </c>
    </row>
    <row r="7" spans="1:10" ht="12.75" customHeight="1" x14ac:dyDescent="0.25">
      <c r="A7" s="538" t="s">
        <v>1522</v>
      </c>
      <c r="B7" s="142"/>
      <c r="C7" s="328" t="s">
        <v>1523</v>
      </c>
      <c r="D7" s="329" t="s">
        <v>1519</v>
      </c>
      <c r="E7" s="329" t="s">
        <v>1524</v>
      </c>
      <c r="F7" s="329">
        <v>0</v>
      </c>
      <c r="G7" s="536"/>
      <c r="H7" s="329">
        <v>5000000</v>
      </c>
      <c r="I7" s="329">
        <v>5000000</v>
      </c>
      <c r="J7" s="517">
        <v>0</v>
      </c>
    </row>
    <row r="8" spans="1:10" ht="12.75" customHeight="1" x14ac:dyDescent="0.25">
      <c r="A8" s="538" t="s">
        <v>1521</v>
      </c>
      <c r="B8" s="142"/>
      <c r="C8" s="328" t="s">
        <v>1525</v>
      </c>
      <c r="D8" s="329" t="s">
        <v>1519</v>
      </c>
      <c r="E8" s="329" t="s">
        <v>1526</v>
      </c>
      <c r="F8" s="329">
        <v>0</v>
      </c>
      <c r="G8" s="536"/>
      <c r="H8" s="329">
        <v>5000000</v>
      </c>
      <c r="I8" s="329">
        <v>5000000</v>
      </c>
      <c r="J8" s="517">
        <v>0</v>
      </c>
    </row>
    <row r="9" spans="1:10" ht="12.75" customHeight="1" x14ac:dyDescent="0.25">
      <c r="A9" s="538" t="s">
        <v>1517</v>
      </c>
      <c r="B9" s="142"/>
      <c r="C9" s="328" t="s">
        <v>1525</v>
      </c>
      <c r="D9" s="329" t="s">
        <v>1519</v>
      </c>
      <c r="E9" s="329" t="s">
        <v>1527</v>
      </c>
      <c r="F9" s="329">
        <v>0</v>
      </c>
      <c r="G9" s="536"/>
      <c r="H9" s="329">
        <v>5000000</v>
      </c>
      <c r="I9" s="329">
        <v>5000000</v>
      </c>
      <c r="J9" s="517">
        <v>0</v>
      </c>
    </row>
    <row r="10" spans="1:10" ht="12.75" customHeight="1" x14ac:dyDescent="0.25">
      <c r="A10" s="538" t="s">
        <v>1528</v>
      </c>
      <c r="B10" s="142"/>
      <c r="C10" s="328" t="s">
        <v>1529</v>
      </c>
      <c r="D10" s="329" t="s">
        <v>1519</v>
      </c>
      <c r="E10" s="329" t="s">
        <v>1530</v>
      </c>
      <c r="F10" s="329">
        <v>0</v>
      </c>
      <c r="G10" s="536"/>
      <c r="H10" s="329">
        <v>5000000</v>
      </c>
      <c r="I10" s="329">
        <v>5000000</v>
      </c>
      <c r="J10" s="517">
        <v>0</v>
      </c>
    </row>
    <row r="11" spans="1:10" ht="12.75" customHeight="1" x14ac:dyDescent="0.25">
      <c r="A11" s="538" t="s">
        <v>1531</v>
      </c>
      <c r="B11" s="142"/>
      <c r="C11" s="328" t="s">
        <v>1529</v>
      </c>
      <c r="D11" s="329" t="s">
        <v>1519</v>
      </c>
      <c r="E11" s="329" t="s">
        <v>1530</v>
      </c>
      <c r="F11" s="329">
        <v>0</v>
      </c>
      <c r="G11" s="536"/>
      <c r="H11" s="329">
        <v>5000000</v>
      </c>
      <c r="I11" s="329">
        <v>5000000</v>
      </c>
      <c r="J11" s="517">
        <v>0</v>
      </c>
    </row>
    <row r="12" spans="1:10" ht="12.75" customHeight="1" x14ac:dyDescent="0.25">
      <c r="A12" s="538" t="s">
        <v>1517</v>
      </c>
      <c r="B12" s="142"/>
      <c r="C12" s="328" t="s">
        <v>1532</v>
      </c>
      <c r="D12" s="329" t="s">
        <v>1519</v>
      </c>
      <c r="E12" s="329" t="s">
        <v>1533</v>
      </c>
      <c r="F12" s="329">
        <v>0</v>
      </c>
      <c r="G12" s="536"/>
      <c r="H12" s="329">
        <v>5000000</v>
      </c>
      <c r="I12" s="329">
        <v>5000000</v>
      </c>
      <c r="J12" s="517">
        <v>0</v>
      </c>
    </row>
    <row r="13" spans="1:10" ht="12.75" customHeight="1" x14ac:dyDescent="0.25">
      <c r="A13" s="538" t="s">
        <v>1531</v>
      </c>
      <c r="B13" s="142"/>
      <c r="C13" s="328" t="s">
        <v>1532</v>
      </c>
      <c r="D13" s="329" t="s">
        <v>1519</v>
      </c>
      <c r="E13" s="329" t="s">
        <v>1533</v>
      </c>
      <c r="F13" s="329">
        <v>0</v>
      </c>
      <c r="G13" s="536"/>
      <c r="H13" s="329">
        <v>5000000</v>
      </c>
      <c r="I13" s="329">
        <v>5000000</v>
      </c>
      <c r="J13" s="517">
        <v>0</v>
      </c>
    </row>
    <row r="14" spans="1:10" ht="12.75" customHeight="1" x14ac:dyDescent="0.25">
      <c r="A14" s="538" t="s">
        <v>1517</v>
      </c>
      <c r="B14" s="142"/>
      <c r="C14" s="328" t="s">
        <v>1534</v>
      </c>
      <c r="D14" s="329" t="s">
        <v>1519</v>
      </c>
      <c r="E14" s="329" t="s">
        <v>1535</v>
      </c>
      <c r="F14" s="329">
        <v>0</v>
      </c>
      <c r="G14" s="536"/>
      <c r="H14" s="329">
        <v>5000000</v>
      </c>
      <c r="I14" s="329">
        <v>5000000</v>
      </c>
      <c r="J14" s="517">
        <v>0</v>
      </c>
    </row>
    <row r="15" spans="1:10" ht="12.75" customHeight="1" x14ac:dyDescent="0.25">
      <c r="A15" s="538" t="s">
        <v>1521</v>
      </c>
      <c r="B15" s="142"/>
      <c r="C15" s="328" t="s">
        <v>1536</v>
      </c>
      <c r="D15" s="329" t="s">
        <v>1519</v>
      </c>
      <c r="E15" s="329" t="s">
        <v>1533</v>
      </c>
      <c r="F15" s="329">
        <v>0</v>
      </c>
      <c r="G15" s="536"/>
      <c r="H15" s="329">
        <v>5000000</v>
      </c>
      <c r="I15" s="329">
        <v>5000000</v>
      </c>
      <c r="J15" s="517">
        <v>0</v>
      </c>
    </row>
    <row r="16" spans="1:10" ht="12.75" customHeight="1" x14ac:dyDescent="0.25">
      <c r="A16" s="538" t="s">
        <v>1528</v>
      </c>
      <c r="B16" s="142"/>
      <c r="C16" s="328" t="s">
        <v>1536</v>
      </c>
      <c r="D16" s="329" t="s">
        <v>1519</v>
      </c>
      <c r="E16" s="329" t="s">
        <v>1537</v>
      </c>
      <c r="F16" s="329">
        <v>0</v>
      </c>
      <c r="G16" s="536"/>
      <c r="H16" s="329">
        <v>5000000</v>
      </c>
      <c r="I16" s="329">
        <v>5000000</v>
      </c>
      <c r="J16" s="517">
        <v>0</v>
      </c>
    </row>
    <row r="17" spans="1:10" ht="12.75" customHeight="1" x14ac:dyDescent="0.25">
      <c r="A17" s="538" t="s">
        <v>1531</v>
      </c>
      <c r="B17" s="142"/>
      <c r="C17" s="328" t="s">
        <v>1536</v>
      </c>
      <c r="D17" s="329" t="s">
        <v>1519</v>
      </c>
      <c r="E17" s="329" t="s">
        <v>1537</v>
      </c>
      <c r="F17" s="329">
        <v>0</v>
      </c>
      <c r="G17" s="536"/>
      <c r="H17" s="329">
        <v>5000000</v>
      </c>
      <c r="I17" s="329">
        <v>5000000</v>
      </c>
      <c r="J17" s="517">
        <v>0</v>
      </c>
    </row>
    <row r="18" spans="1:10" ht="12.75" customHeight="1" x14ac:dyDescent="0.25">
      <c r="A18" s="538" t="s">
        <v>1522</v>
      </c>
      <c r="B18" s="142"/>
      <c r="C18" s="328" t="s">
        <v>1536</v>
      </c>
      <c r="D18" s="329" t="s">
        <v>1519</v>
      </c>
      <c r="E18" s="329" t="s">
        <v>1537</v>
      </c>
      <c r="F18" s="329">
        <v>0</v>
      </c>
      <c r="G18" s="536"/>
      <c r="H18" s="329">
        <v>5000000</v>
      </c>
      <c r="I18" s="329">
        <v>5000000</v>
      </c>
      <c r="J18" s="517">
        <v>0</v>
      </c>
    </row>
    <row r="19" spans="1:10" ht="12.75" customHeight="1" x14ac:dyDescent="0.25">
      <c r="A19" s="538" t="s">
        <v>1517</v>
      </c>
      <c r="B19" s="142"/>
      <c r="C19" s="328" t="s">
        <v>1525</v>
      </c>
      <c r="D19" s="329" t="s">
        <v>1519</v>
      </c>
      <c r="E19" s="329" t="s">
        <v>1538</v>
      </c>
      <c r="F19" s="329">
        <v>0</v>
      </c>
      <c r="G19" s="536"/>
      <c r="H19" s="329">
        <v>5000000</v>
      </c>
      <c r="I19" s="329">
        <v>5000000</v>
      </c>
      <c r="J19" s="517">
        <v>0</v>
      </c>
    </row>
    <row r="20" spans="1:10" ht="12.75" customHeight="1" x14ac:dyDescent="0.25">
      <c r="A20" s="538" t="s">
        <v>1528</v>
      </c>
      <c r="B20" s="142"/>
      <c r="C20" s="328" t="s">
        <v>1525</v>
      </c>
      <c r="D20" s="329" t="s">
        <v>1519</v>
      </c>
      <c r="E20" s="329" t="s">
        <v>1539</v>
      </c>
      <c r="F20" s="329">
        <v>0</v>
      </c>
      <c r="G20" s="536"/>
      <c r="H20" s="329">
        <v>5000000</v>
      </c>
      <c r="I20" s="329">
        <v>5000000</v>
      </c>
      <c r="J20" s="517">
        <v>0</v>
      </c>
    </row>
    <row r="21" spans="1:10" ht="12.75" customHeight="1" x14ac:dyDescent="0.25">
      <c r="A21" s="538" t="s">
        <v>1531</v>
      </c>
      <c r="B21" s="142"/>
      <c r="C21" s="328" t="s">
        <v>1525</v>
      </c>
      <c r="D21" s="329" t="s">
        <v>1519</v>
      </c>
      <c r="E21" s="329" t="s">
        <v>1539</v>
      </c>
      <c r="F21" s="329">
        <v>0</v>
      </c>
      <c r="G21" s="536"/>
      <c r="H21" s="329">
        <v>5000000</v>
      </c>
      <c r="I21" s="329">
        <v>5000000</v>
      </c>
      <c r="J21" s="517">
        <v>0</v>
      </c>
    </row>
    <row r="22" spans="1:10" ht="12.75" customHeight="1" x14ac:dyDescent="0.25">
      <c r="A22" s="538" t="s">
        <v>1517</v>
      </c>
      <c r="B22" s="142"/>
      <c r="C22" s="328" t="s">
        <v>1529</v>
      </c>
      <c r="D22" s="329" t="s">
        <v>1519</v>
      </c>
      <c r="E22" s="329" t="s">
        <v>1540</v>
      </c>
      <c r="F22" s="329">
        <v>0</v>
      </c>
      <c r="G22" s="536"/>
      <c r="H22" s="329">
        <v>5000000</v>
      </c>
      <c r="I22" s="329">
        <v>5000000</v>
      </c>
      <c r="J22" s="517">
        <v>0</v>
      </c>
    </row>
    <row r="23" spans="1:10" ht="12.75" customHeight="1" x14ac:dyDescent="0.25">
      <c r="A23" s="538" t="s">
        <v>1522</v>
      </c>
      <c r="B23" s="142"/>
      <c r="C23" s="328" t="s">
        <v>1529</v>
      </c>
      <c r="D23" s="329" t="s">
        <v>1519</v>
      </c>
      <c r="E23" s="329" t="s">
        <v>1540</v>
      </c>
      <c r="F23" s="329">
        <v>0</v>
      </c>
      <c r="G23" s="536"/>
      <c r="H23" s="329">
        <v>5000000</v>
      </c>
      <c r="I23" s="329">
        <v>5000000</v>
      </c>
      <c r="J23" s="517">
        <v>0</v>
      </c>
    </row>
    <row r="24" spans="1:10" ht="12.75" customHeight="1" x14ac:dyDescent="0.25">
      <c r="A24" s="538" t="s">
        <v>1528</v>
      </c>
      <c r="B24" s="142"/>
      <c r="C24" s="328" t="s">
        <v>1534</v>
      </c>
      <c r="D24" s="329" t="s">
        <v>1519</v>
      </c>
      <c r="E24" s="895" t="s">
        <v>1566</v>
      </c>
      <c r="F24" s="329">
        <v>0</v>
      </c>
      <c r="G24" s="536"/>
      <c r="H24" s="329">
        <v>5000000</v>
      </c>
      <c r="I24" s="329">
        <v>5000000</v>
      </c>
      <c r="J24" s="517">
        <v>0</v>
      </c>
    </row>
    <row r="25" spans="1:10" ht="12.75" customHeight="1" x14ac:dyDescent="0.25">
      <c r="A25" s="538" t="s">
        <v>1528</v>
      </c>
      <c r="B25" s="142"/>
      <c r="C25" s="328" t="s">
        <v>1536</v>
      </c>
      <c r="D25" s="329" t="s">
        <v>1519</v>
      </c>
      <c r="E25" s="895" t="s">
        <v>1567</v>
      </c>
      <c r="F25" s="329">
        <v>0</v>
      </c>
      <c r="G25" s="536"/>
      <c r="H25" s="329">
        <v>5000000</v>
      </c>
      <c r="I25" s="329">
        <v>5000000</v>
      </c>
      <c r="J25" s="517">
        <v>0</v>
      </c>
    </row>
    <row r="26" spans="1:10" ht="12.75" customHeight="1" x14ac:dyDescent="0.25">
      <c r="A26" s="538" t="s">
        <v>1517</v>
      </c>
      <c r="B26" s="142"/>
      <c r="C26" s="328" t="s">
        <v>1536</v>
      </c>
      <c r="D26" s="329" t="s">
        <v>1519</v>
      </c>
      <c r="E26" s="329" t="s">
        <v>1567</v>
      </c>
      <c r="F26" s="329">
        <v>0</v>
      </c>
      <c r="G26" s="536"/>
      <c r="H26" s="329">
        <v>5000000</v>
      </c>
      <c r="I26" s="329">
        <v>5000000</v>
      </c>
      <c r="J26" s="517">
        <v>0</v>
      </c>
    </row>
    <row r="27" spans="1:10" ht="12.75" customHeight="1" x14ac:dyDescent="0.25">
      <c r="A27" s="538" t="s">
        <v>1531</v>
      </c>
      <c r="B27" s="142"/>
      <c r="C27" s="328" t="s">
        <v>1529</v>
      </c>
      <c r="D27" s="329" t="s">
        <v>1519</v>
      </c>
      <c r="E27" s="329" t="s">
        <v>1568</v>
      </c>
      <c r="F27" s="329">
        <v>0</v>
      </c>
      <c r="G27" s="536"/>
      <c r="H27" s="329">
        <v>5000000</v>
      </c>
      <c r="I27" s="329">
        <v>5000000</v>
      </c>
      <c r="J27" s="517">
        <v>0</v>
      </c>
    </row>
    <row r="28" spans="1:10" ht="12.75" customHeight="1" x14ac:dyDescent="0.25">
      <c r="A28" s="538" t="s">
        <v>1517</v>
      </c>
      <c r="B28" s="142"/>
      <c r="C28" s="328" t="s">
        <v>1536</v>
      </c>
      <c r="D28" s="329" t="s">
        <v>1519</v>
      </c>
      <c r="E28" s="895" t="s">
        <v>1569</v>
      </c>
      <c r="F28" s="329">
        <v>0</v>
      </c>
      <c r="G28" s="536"/>
      <c r="H28" s="329">
        <v>5000000</v>
      </c>
      <c r="I28" s="329">
        <v>5000000</v>
      </c>
      <c r="J28" s="517">
        <v>0</v>
      </c>
    </row>
    <row r="29" spans="1:10" ht="12.75" customHeight="1" x14ac:dyDescent="0.25">
      <c r="A29" s="538" t="s">
        <v>1528</v>
      </c>
      <c r="B29" s="142"/>
      <c r="C29" s="328" t="s">
        <v>1525</v>
      </c>
      <c r="D29" s="329" t="s">
        <v>1519</v>
      </c>
      <c r="E29" s="895" t="s">
        <v>1570</v>
      </c>
      <c r="F29" s="329">
        <v>0</v>
      </c>
      <c r="G29" s="536"/>
      <c r="H29" s="329">
        <v>5000000</v>
      </c>
      <c r="I29" s="329">
        <v>5000000</v>
      </c>
      <c r="J29" s="517">
        <v>0</v>
      </c>
    </row>
    <row r="30" spans="1:10" ht="12.75" customHeight="1" x14ac:dyDescent="0.25">
      <c r="A30" s="538" t="s">
        <v>1517</v>
      </c>
      <c r="B30" s="142"/>
      <c r="C30" s="328" t="s">
        <v>1529</v>
      </c>
      <c r="D30" s="329" t="s">
        <v>1519</v>
      </c>
      <c r="E30" s="895" t="s">
        <v>1571</v>
      </c>
      <c r="F30" s="329">
        <v>0</v>
      </c>
      <c r="G30" s="536"/>
      <c r="H30" s="329">
        <v>5000000</v>
      </c>
      <c r="I30" s="329">
        <v>5000000</v>
      </c>
      <c r="J30" s="517">
        <v>0</v>
      </c>
    </row>
    <row r="31" spans="1:10" ht="12.75" customHeight="1" x14ac:dyDescent="0.25">
      <c r="A31" s="538" t="s">
        <v>1531</v>
      </c>
      <c r="B31" s="142"/>
      <c r="C31" s="328" t="s">
        <v>1529</v>
      </c>
      <c r="D31" s="329" t="s">
        <v>1519</v>
      </c>
      <c r="E31" s="895" t="s">
        <v>1572</v>
      </c>
      <c r="F31" s="329">
        <v>0</v>
      </c>
      <c r="G31" s="536"/>
      <c r="H31" s="329">
        <v>5000000</v>
      </c>
      <c r="I31" s="329">
        <v>5000000</v>
      </c>
      <c r="J31" s="517">
        <v>0</v>
      </c>
    </row>
    <row r="32" spans="1:10" ht="12.75" customHeight="1" x14ac:dyDescent="0.25">
      <c r="A32" s="538" t="s">
        <v>1528</v>
      </c>
      <c r="B32" s="142"/>
      <c r="C32" s="328" t="s">
        <v>1534</v>
      </c>
      <c r="D32" s="329" t="s">
        <v>1519</v>
      </c>
      <c r="E32" s="329" t="s">
        <v>1573</v>
      </c>
      <c r="F32" s="329">
        <v>0</v>
      </c>
      <c r="G32" s="536"/>
      <c r="H32" s="329">
        <v>5000000</v>
      </c>
      <c r="I32" s="329">
        <v>5000000</v>
      </c>
      <c r="J32" s="517">
        <v>0</v>
      </c>
    </row>
    <row r="33" spans="1:10" ht="12.75" customHeight="1" x14ac:dyDescent="0.25">
      <c r="A33" s="538" t="s">
        <v>1517</v>
      </c>
      <c r="B33" s="142"/>
      <c r="C33" s="328" t="s">
        <v>1534</v>
      </c>
      <c r="D33" s="329" t="s">
        <v>1519</v>
      </c>
      <c r="E33" s="329" t="s">
        <v>1574</v>
      </c>
      <c r="F33" s="329">
        <v>0</v>
      </c>
      <c r="G33" s="536"/>
      <c r="H33" s="329">
        <v>5000000</v>
      </c>
      <c r="I33" s="329">
        <v>5000000</v>
      </c>
      <c r="J33" s="517">
        <v>0</v>
      </c>
    </row>
    <row r="34" spans="1:10" ht="12.75" customHeight="1" x14ac:dyDescent="0.25">
      <c r="A34" s="538" t="s">
        <v>1517</v>
      </c>
      <c r="B34" s="142"/>
      <c r="C34" s="328" t="s">
        <v>1536</v>
      </c>
      <c r="D34" s="329" t="s">
        <v>1519</v>
      </c>
      <c r="E34" s="895" t="s">
        <v>1575</v>
      </c>
      <c r="F34" s="329">
        <v>0</v>
      </c>
      <c r="G34" s="536"/>
      <c r="H34" s="329">
        <v>5000000</v>
      </c>
      <c r="I34" s="329">
        <v>5000000</v>
      </c>
      <c r="J34" s="517">
        <v>0</v>
      </c>
    </row>
    <row r="35" spans="1:10" ht="12.75" customHeight="1" x14ac:dyDescent="0.25">
      <c r="A35" s="538" t="s">
        <v>1528</v>
      </c>
      <c r="B35" s="142"/>
      <c r="C35" s="328" t="s">
        <v>1536</v>
      </c>
      <c r="D35" s="329" t="s">
        <v>1519</v>
      </c>
      <c r="E35" s="329" t="s">
        <v>1576</v>
      </c>
      <c r="F35" s="329">
        <v>0</v>
      </c>
      <c r="G35" s="536"/>
      <c r="H35" s="329">
        <v>5000000</v>
      </c>
      <c r="I35" s="329">
        <v>5000000</v>
      </c>
      <c r="J35" s="517">
        <v>0</v>
      </c>
    </row>
    <row r="36" spans="1:10" ht="12.75" customHeight="1" x14ac:dyDescent="0.25">
      <c r="A36" s="538" t="s">
        <v>1531</v>
      </c>
      <c r="B36" s="142"/>
      <c r="C36" s="328" t="s">
        <v>1525</v>
      </c>
      <c r="D36" s="329" t="s">
        <v>1519</v>
      </c>
      <c r="E36" s="329" t="s">
        <v>1577</v>
      </c>
      <c r="F36" s="329">
        <v>0</v>
      </c>
      <c r="G36" s="536"/>
      <c r="H36" s="329">
        <v>5000000</v>
      </c>
      <c r="I36" s="329">
        <v>5000000</v>
      </c>
      <c r="J36" s="517">
        <v>0</v>
      </c>
    </row>
    <row r="37" spans="1:10" ht="12.75" customHeight="1" x14ac:dyDescent="0.25">
      <c r="A37" s="538" t="s">
        <v>1517</v>
      </c>
      <c r="B37" s="142"/>
      <c r="C37" s="328" t="s">
        <v>1534</v>
      </c>
      <c r="D37" s="329" t="s">
        <v>1519</v>
      </c>
      <c r="E37" s="329" t="s">
        <v>1572</v>
      </c>
      <c r="F37" s="329">
        <v>0</v>
      </c>
      <c r="G37" s="536"/>
      <c r="H37" s="329">
        <v>5000000</v>
      </c>
      <c r="I37" s="329">
        <v>5000000</v>
      </c>
      <c r="J37" s="517">
        <v>0</v>
      </c>
    </row>
    <row r="38" spans="1:10" ht="12.75" customHeight="1" x14ac:dyDescent="0.25">
      <c r="A38" s="538" t="s">
        <v>1528</v>
      </c>
      <c r="B38" s="142"/>
      <c r="C38" s="328" t="s">
        <v>1536</v>
      </c>
      <c r="D38" s="329" t="s">
        <v>1519</v>
      </c>
      <c r="E38" s="895" t="s">
        <v>1578</v>
      </c>
      <c r="F38" s="329">
        <v>0</v>
      </c>
      <c r="G38" s="536"/>
      <c r="H38" s="329">
        <v>5000000</v>
      </c>
      <c r="I38" s="329">
        <v>5000000</v>
      </c>
      <c r="J38" s="517">
        <v>0</v>
      </c>
    </row>
    <row r="39" spans="1:10" ht="12.75" customHeight="1" x14ac:dyDescent="0.25">
      <c r="A39" s="538" t="s">
        <v>1531</v>
      </c>
      <c r="B39" s="142"/>
      <c r="C39" s="328" t="s">
        <v>1525</v>
      </c>
      <c r="D39" s="329" t="s">
        <v>1519</v>
      </c>
      <c r="E39" s="329" t="s">
        <v>1579</v>
      </c>
      <c r="F39" s="329">
        <v>0</v>
      </c>
      <c r="G39" s="536"/>
      <c r="H39" s="329">
        <v>5000000</v>
      </c>
      <c r="I39" s="329">
        <v>5000000</v>
      </c>
      <c r="J39" s="517">
        <v>0</v>
      </c>
    </row>
    <row r="40" spans="1:10" ht="12.75" customHeight="1" x14ac:dyDescent="0.25">
      <c r="A40" s="538" t="s">
        <v>1517</v>
      </c>
      <c r="B40" s="142"/>
      <c r="C40" s="328" t="s">
        <v>1534</v>
      </c>
      <c r="D40" s="329" t="s">
        <v>1519</v>
      </c>
      <c r="E40" s="895" t="s">
        <v>1585</v>
      </c>
      <c r="F40" s="329">
        <v>0</v>
      </c>
      <c r="G40" s="536"/>
      <c r="H40" s="329">
        <v>5000000</v>
      </c>
      <c r="I40" s="329">
        <v>5000000</v>
      </c>
      <c r="J40" s="517">
        <v>0</v>
      </c>
    </row>
    <row r="41" spans="1:10" ht="12.75" customHeight="1" x14ac:dyDescent="0.25">
      <c r="A41" s="538" t="s">
        <v>1531</v>
      </c>
      <c r="B41" s="142"/>
      <c r="C41" s="328" t="s">
        <v>1536</v>
      </c>
      <c r="D41" s="329" t="s">
        <v>1519</v>
      </c>
      <c r="E41" s="329" t="s">
        <v>1586</v>
      </c>
      <c r="F41" s="329">
        <v>0</v>
      </c>
      <c r="G41" s="536"/>
      <c r="H41" s="329">
        <v>5000000</v>
      </c>
      <c r="I41" s="329">
        <v>5000000</v>
      </c>
      <c r="J41" s="517">
        <v>0</v>
      </c>
    </row>
    <row r="42" spans="1:10" ht="12.75" customHeight="1" x14ac:dyDescent="0.25">
      <c r="A42" s="538" t="s">
        <v>1517</v>
      </c>
      <c r="B42" s="142"/>
      <c r="C42" s="328" t="s">
        <v>1536</v>
      </c>
      <c r="D42" s="329" t="s">
        <v>1519</v>
      </c>
      <c r="E42" s="329" t="s">
        <v>1587</v>
      </c>
      <c r="F42" s="329">
        <v>0</v>
      </c>
      <c r="G42" s="536"/>
      <c r="H42" s="329">
        <v>5000000</v>
      </c>
      <c r="I42" s="329">
        <v>5000000</v>
      </c>
      <c r="J42" s="517">
        <v>0</v>
      </c>
    </row>
    <row r="43" spans="1:10" ht="12.75" customHeight="1" x14ac:dyDescent="0.25">
      <c r="A43" s="538" t="s">
        <v>1521</v>
      </c>
      <c r="B43" s="142"/>
      <c r="C43" s="328" t="s">
        <v>1525</v>
      </c>
      <c r="D43" s="329" t="s">
        <v>1519</v>
      </c>
      <c r="E43" s="329" t="s">
        <v>1588</v>
      </c>
      <c r="F43" s="329">
        <v>23693.15</v>
      </c>
      <c r="G43" s="536"/>
      <c r="H43" s="329">
        <v>5000000</v>
      </c>
      <c r="I43" s="329">
        <v>5000000</v>
      </c>
      <c r="J43" s="517">
        <v>0</v>
      </c>
    </row>
    <row r="44" spans="1:10" ht="12.75" customHeight="1" x14ac:dyDescent="0.25">
      <c r="A44" s="538" t="s">
        <v>1517</v>
      </c>
      <c r="B44" s="142"/>
      <c r="C44" s="328" t="s">
        <v>1536</v>
      </c>
      <c r="D44" s="329" t="s">
        <v>1519</v>
      </c>
      <c r="E44" s="895" t="s">
        <v>1591</v>
      </c>
      <c r="F44" s="329">
        <v>25808.22</v>
      </c>
      <c r="G44" s="536"/>
      <c r="H44" s="329">
        <v>5000000</v>
      </c>
      <c r="I44" s="329">
        <v>5000000</v>
      </c>
      <c r="J44" s="517">
        <v>0</v>
      </c>
    </row>
    <row r="45" spans="1:10" ht="12.75" customHeight="1" x14ac:dyDescent="0.25">
      <c r="A45" s="538" t="s">
        <v>1521</v>
      </c>
      <c r="B45" s="142"/>
      <c r="C45" s="328" t="s">
        <v>1536</v>
      </c>
      <c r="D45" s="329" t="s">
        <v>1519</v>
      </c>
      <c r="E45" s="329" t="s">
        <v>1591</v>
      </c>
      <c r="F45" s="329">
        <v>24460.27</v>
      </c>
      <c r="G45" s="536"/>
      <c r="H45" s="329">
        <v>5000000</v>
      </c>
      <c r="I45" s="329">
        <v>5000000</v>
      </c>
      <c r="J45" s="517">
        <v>0</v>
      </c>
    </row>
    <row r="46" spans="1:10" ht="12.75" customHeight="1" x14ac:dyDescent="0.25">
      <c r="A46" s="538" t="s">
        <v>1531</v>
      </c>
      <c r="B46" s="142"/>
      <c r="C46" s="328" t="s">
        <v>1536</v>
      </c>
      <c r="D46" s="329" t="s">
        <v>1519</v>
      </c>
      <c r="E46" s="329" t="s">
        <v>1591</v>
      </c>
      <c r="F46" s="329">
        <v>25068.49</v>
      </c>
      <c r="G46" s="536"/>
      <c r="H46" s="329">
        <v>5000000</v>
      </c>
      <c r="I46" s="329">
        <v>5000000</v>
      </c>
      <c r="J46" s="517">
        <v>0</v>
      </c>
    </row>
    <row r="47" spans="1:10" ht="12.75" customHeight="1" x14ac:dyDescent="0.25">
      <c r="A47" s="538" t="s">
        <v>1517</v>
      </c>
      <c r="B47" s="142"/>
      <c r="C47" s="328" t="s">
        <v>1525</v>
      </c>
      <c r="D47" s="329" t="s">
        <v>1519</v>
      </c>
      <c r="E47" s="895" t="s">
        <v>1592</v>
      </c>
      <c r="F47" s="329">
        <v>32465.75</v>
      </c>
      <c r="G47" s="536"/>
      <c r="H47" s="329">
        <v>5000000</v>
      </c>
      <c r="I47" s="329">
        <v>0</v>
      </c>
      <c r="J47" s="517">
        <v>5000000</v>
      </c>
    </row>
    <row r="48" spans="1:10" ht="12.75" customHeight="1" x14ac:dyDescent="0.25">
      <c r="A48" s="538" t="s">
        <v>1531</v>
      </c>
      <c r="B48" s="142"/>
      <c r="C48" s="328" t="s">
        <v>1529</v>
      </c>
      <c r="D48" s="329" t="s">
        <v>1519</v>
      </c>
      <c r="E48" s="895" t="s">
        <v>1593</v>
      </c>
      <c r="F48" s="329">
        <v>32773.97</v>
      </c>
      <c r="G48" s="536"/>
      <c r="H48" s="329">
        <v>5000000</v>
      </c>
      <c r="I48" s="329">
        <v>0</v>
      </c>
      <c r="J48" s="517">
        <v>5000000</v>
      </c>
    </row>
    <row r="49" spans="1:10" ht="12.75" customHeight="1" x14ac:dyDescent="0.25">
      <c r="A49" s="538" t="s">
        <v>1517</v>
      </c>
      <c r="B49" s="142"/>
      <c r="C49" s="328" t="s">
        <v>1532</v>
      </c>
      <c r="D49" s="329" t="s">
        <v>1519</v>
      </c>
      <c r="E49" s="895" t="s">
        <v>1594</v>
      </c>
      <c r="F49" s="329">
        <v>33698.629999999997</v>
      </c>
      <c r="G49" s="536"/>
      <c r="H49" s="329">
        <v>5000000</v>
      </c>
      <c r="I49" s="329">
        <v>0</v>
      </c>
      <c r="J49" s="517">
        <v>5000000</v>
      </c>
    </row>
    <row r="50" spans="1:10" ht="12.75" customHeight="1" x14ac:dyDescent="0.25">
      <c r="A50" s="538"/>
      <c r="B50" s="142"/>
      <c r="C50" s="328"/>
      <c r="D50" s="329"/>
      <c r="E50" s="329"/>
      <c r="F50" s="329"/>
      <c r="G50" s="536"/>
      <c r="H50" s="329"/>
      <c r="I50" s="329"/>
      <c r="J50" s="517"/>
    </row>
    <row r="51" spans="1:10" s="57" customFormat="1" ht="12.75" customHeight="1" x14ac:dyDescent="0.25">
      <c r="A51" s="77" t="s">
        <v>129</v>
      </c>
      <c r="B51" s="35"/>
      <c r="C51" s="846"/>
      <c r="D51" s="847"/>
      <c r="E51" s="847"/>
      <c r="F51" s="356">
        <f>SUM(F5:F50)</f>
        <v>197968.48</v>
      </c>
      <c r="G51" s="848"/>
      <c r="H51" s="356">
        <f>SUM(H5:H50)</f>
        <v>225000000</v>
      </c>
      <c r="I51" s="356">
        <f>SUM(I5:I50)</f>
        <v>210000000</v>
      </c>
      <c r="J51" s="403">
        <f>SUM(J5:J50)</f>
        <v>15000000</v>
      </c>
    </row>
    <row r="52" spans="1:10" ht="3.75" customHeight="1" x14ac:dyDescent="0.25">
      <c r="A52" s="39"/>
      <c r="B52" s="142"/>
      <c r="C52" s="427"/>
      <c r="D52" s="419"/>
      <c r="E52" s="419"/>
      <c r="F52" s="419"/>
      <c r="G52" s="428"/>
      <c r="H52" s="419"/>
      <c r="I52" s="419"/>
      <c r="J52" s="420"/>
    </row>
    <row r="53" spans="1:10" ht="12.75" hidden="1" customHeight="1" x14ac:dyDescent="0.25">
      <c r="A53" s="32" t="s">
        <v>130</v>
      </c>
      <c r="B53" s="142"/>
      <c r="C53" s="427"/>
      <c r="D53" s="419"/>
      <c r="E53" s="419"/>
      <c r="F53" s="419"/>
      <c r="G53" s="428"/>
      <c r="H53" s="419"/>
      <c r="I53" s="419"/>
      <c r="J53" s="420"/>
    </row>
    <row r="54" spans="1:10" ht="12.75" hidden="1" customHeight="1" x14ac:dyDescent="0.25">
      <c r="A54" s="539"/>
      <c r="B54" s="142"/>
      <c r="C54" s="328"/>
      <c r="D54" s="329"/>
      <c r="E54" s="329"/>
      <c r="F54" s="329"/>
      <c r="G54" s="536"/>
      <c r="H54" s="329"/>
      <c r="I54" s="329"/>
      <c r="J54" s="517"/>
    </row>
    <row r="55" spans="1:10" ht="12.75" hidden="1" customHeight="1" x14ac:dyDescent="0.25">
      <c r="A55" s="539"/>
      <c r="B55" s="142"/>
      <c r="C55" s="328"/>
      <c r="D55" s="329"/>
      <c r="E55" s="329"/>
      <c r="F55" s="329"/>
      <c r="G55" s="536"/>
      <c r="H55" s="329"/>
      <c r="I55" s="329"/>
      <c r="J55" s="517"/>
    </row>
    <row r="56" spans="1:10" ht="12.75" hidden="1" customHeight="1" x14ac:dyDescent="0.25">
      <c r="A56" s="539"/>
      <c r="B56" s="142"/>
      <c r="C56" s="328"/>
      <c r="D56" s="329"/>
      <c r="E56" s="329"/>
      <c r="F56" s="329"/>
      <c r="G56" s="536"/>
      <c r="H56" s="329"/>
      <c r="I56" s="329"/>
      <c r="J56" s="517"/>
    </row>
    <row r="57" spans="1:10" ht="12.75" hidden="1" customHeight="1" x14ac:dyDescent="0.25">
      <c r="A57" s="539"/>
      <c r="B57" s="142"/>
      <c r="C57" s="328"/>
      <c r="D57" s="329"/>
      <c r="E57" s="329"/>
      <c r="F57" s="329"/>
      <c r="G57" s="536"/>
      <c r="H57" s="329"/>
      <c r="I57" s="329"/>
      <c r="J57" s="517"/>
    </row>
    <row r="58" spans="1:10" ht="12.75" hidden="1" customHeight="1" x14ac:dyDescent="0.25">
      <c r="A58" s="539"/>
      <c r="B58" s="142"/>
      <c r="C58" s="328"/>
      <c r="D58" s="329"/>
      <c r="E58" s="329"/>
      <c r="F58" s="329"/>
      <c r="G58" s="536"/>
      <c r="H58" s="329"/>
      <c r="I58" s="329"/>
      <c r="J58" s="517"/>
    </row>
    <row r="59" spans="1:10" ht="12.75" hidden="1" customHeight="1" x14ac:dyDescent="0.25">
      <c r="A59" s="539"/>
      <c r="B59" s="142"/>
      <c r="C59" s="328"/>
      <c r="D59" s="329"/>
      <c r="E59" s="329"/>
      <c r="F59" s="329"/>
      <c r="G59" s="536"/>
      <c r="H59" s="329"/>
      <c r="I59" s="329"/>
      <c r="J59" s="517"/>
    </row>
    <row r="60" spans="1:10" ht="12.75" hidden="1" customHeight="1" x14ac:dyDescent="0.25">
      <c r="A60" s="539"/>
      <c r="B60" s="142"/>
      <c r="C60" s="328"/>
      <c r="D60" s="329"/>
      <c r="E60" s="329"/>
      <c r="F60" s="329"/>
      <c r="G60" s="536"/>
      <c r="H60" s="329"/>
      <c r="I60" s="329"/>
      <c r="J60" s="517"/>
    </row>
    <row r="61" spans="1:10" ht="12.75" hidden="1" customHeight="1" x14ac:dyDescent="0.25">
      <c r="A61" s="77" t="s">
        <v>131</v>
      </c>
      <c r="B61" s="142"/>
      <c r="C61" s="431"/>
      <c r="D61" s="429"/>
      <c r="E61" s="429"/>
      <c r="F61" s="404">
        <f>SUM(F54:F60)</f>
        <v>0</v>
      </c>
      <c r="G61" s="430"/>
      <c r="H61" s="404">
        <f>SUM(H54:H60)</f>
        <v>0</v>
      </c>
      <c r="I61" s="404">
        <f>SUM(I54:I60)</f>
        <v>0</v>
      </c>
      <c r="J61" s="451">
        <f>SUM(J54:J60)</f>
        <v>0</v>
      </c>
    </row>
    <row r="62" spans="1:10" ht="3.75" customHeight="1" x14ac:dyDescent="0.25">
      <c r="A62" s="39"/>
      <c r="B62" s="142"/>
      <c r="C62" s="427"/>
      <c r="D62" s="419"/>
      <c r="E62" s="419"/>
      <c r="F62" s="419"/>
      <c r="G62" s="428"/>
      <c r="H62" s="419"/>
      <c r="I62" s="419"/>
      <c r="J62" s="420"/>
    </row>
    <row r="63" spans="1:10" ht="12.75" customHeight="1" x14ac:dyDescent="0.25">
      <c r="A63" s="422" t="s">
        <v>132</v>
      </c>
      <c r="B63" s="199">
        <v>2</v>
      </c>
      <c r="C63" s="426"/>
      <c r="D63" s="244"/>
      <c r="E63" s="244"/>
      <c r="F63" s="51">
        <f>F51+F61</f>
        <v>197968.48</v>
      </c>
      <c r="G63" s="497"/>
      <c r="H63" s="51">
        <f>H51+H61</f>
        <v>225000000</v>
      </c>
      <c r="I63" s="51">
        <f>I51+I61</f>
        <v>210000000</v>
      </c>
      <c r="J63" s="198">
        <f>J51+J61</f>
        <v>15000000</v>
      </c>
    </row>
    <row r="64" spans="1:10" ht="12.75" customHeight="1" x14ac:dyDescent="0.25">
      <c r="A64" s="680" t="str">
        <f>head27a</f>
        <v>References</v>
      </c>
      <c r="C64" s="76"/>
      <c r="D64" s="76"/>
      <c r="E64" s="76"/>
      <c r="F64" s="76"/>
      <c r="G64" s="76"/>
      <c r="H64" s="76"/>
      <c r="I64" s="76"/>
      <c r="J64" s="44"/>
    </row>
    <row r="65" spans="1:10" ht="12.75" customHeight="1" x14ac:dyDescent="0.25">
      <c r="A65" s="78" t="s">
        <v>905</v>
      </c>
      <c r="C65" s="76"/>
      <c r="D65" s="76"/>
      <c r="E65" s="76"/>
      <c r="F65" s="76"/>
      <c r="G65" s="76"/>
      <c r="H65" s="76"/>
      <c r="I65" s="76"/>
      <c r="J65" s="44"/>
    </row>
    <row r="66" spans="1:10" ht="12.75" customHeight="1" x14ac:dyDescent="0.25">
      <c r="A66" s="684" t="s">
        <v>542</v>
      </c>
      <c r="C66" s="55"/>
      <c r="D66" s="57"/>
      <c r="E66" s="55"/>
      <c r="F66" s="55"/>
      <c r="G66" s="55"/>
      <c r="H66" s="55"/>
      <c r="I66" s="55"/>
      <c r="J66" s="381"/>
    </row>
    <row r="67" spans="1:10" ht="11.25" customHeight="1" x14ac:dyDescent="0.25">
      <c r="A67" s="678"/>
      <c r="B67" s="681"/>
      <c r="C67" s="685"/>
      <c r="D67" s="685"/>
      <c r="E67" s="685"/>
      <c r="F67" s="685"/>
      <c r="G67" s="685"/>
      <c r="H67" s="685"/>
      <c r="I67" s="685"/>
      <c r="J67" s="686"/>
    </row>
  </sheetData>
  <mergeCells count="9">
    <mergeCell ref="A1:J1"/>
    <mergeCell ref="B2:B3"/>
    <mergeCell ref="D2:D3"/>
    <mergeCell ref="E2:E3"/>
    <mergeCell ref="J2:J3"/>
    <mergeCell ref="F2:F3"/>
    <mergeCell ref="G2:G3"/>
    <mergeCell ref="H2:H3"/>
    <mergeCell ref="I2:I3"/>
  </mergeCells>
  <phoneticPr fontId="3" type="noConversion"/>
  <printOptions horizontalCentered="1"/>
  <pageMargins left="0.19685039370078741" right="0.19685039370078741" top="0.59055118110236227" bottom="0.59055118110236227" header="0.51181102362204722" footer="0.51181102362204722"/>
  <pageSetup paperSize="9" scale="9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1">
    <tabColor indexed="42"/>
    <pageSetUpPr fitToPage="1"/>
  </sheetPr>
  <dimension ref="A1:K103"/>
  <sheetViews>
    <sheetView showGridLines="0" zoomScaleNormal="100" workbookViewId="0">
      <pane xSplit="2" ySplit="4" topLeftCell="C35" activePane="bottomRight" state="frozen"/>
      <selection pane="topRight"/>
      <selection pane="bottomLeft"/>
      <selection pane="bottomRight" activeCell="H48" sqref="H48:H51"/>
    </sheetView>
  </sheetViews>
  <sheetFormatPr defaultColWidth="9.140625" defaultRowHeight="12.75" x14ac:dyDescent="0.25"/>
  <cols>
    <col min="1" max="1" width="40.7109375" style="22" customWidth="1"/>
    <col min="2" max="2" width="3.5703125" style="54" customWidth="1"/>
    <col min="3" max="8" width="8.7109375" style="22" customWidth="1"/>
    <col min="9" max="10" width="6.7109375" style="22" customWidth="1"/>
    <col min="11" max="11" width="8.7109375" style="22" customWidth="1"/>
    <col min="12" max="12" width="9.85546875" style="22" customWidth="1"/>
    <col min="13" max="13" width="9.5703125" style="22" customWidth="1"/>
    <col min="14" max="14" width="9.85546875" style="22" customWidth="1"/>
    <col min="15" max="17" width="9.5703125" style="22" customWidth="1"/>
    <col min="18" max="18" width="9.85546875" style="22" customWidth="1"/>
    <col min="19" max="21" width="9.5703125" style="22" customWidth="1"/>
    <col min="22" max="23" width="9.85546875" style="22" customWidth="1"/>
    <col min="24" max="16384" width="9.140625" style="22"/>
  </cols>
  <sheetData>
    <row r="1" spans="1:11" ht="13.5" x14ac:dyDescent="0.25">
      <c r="A1" s="1003" t="str">
        <f>muni&amp; " - "&amp;S71L&amp; " - "&amp;Head57</f>
        <v>WC025 Breede Valley - Supporting Table SC6 Monthly Budget Statement - transfers and grant receipts  - Q4 Fourth Quarter</v>
      </c>
      <c r="B1" s="1003"/>
      <c r="C1" s="1003"/>
      <c r="D1" s="1003"/>
      <c r="E1" s="1003"/>
      <c r="F1" s="1003"/>
      <c r="G1" s="1003"/>
      <c r="H1" s="1003"/>
      <c r="I1" s="1003"/>
      <c r="J1" s="1003"/>
      <c r="K1" s="1003"/>
    </row>
    <row r="2" spans="1:11" x14ac:dyDescent="0.25">
      <c r="A2" s="980" t="str">
        <f>desc</f>
        <v>Description</v>
      </c>
      <c r="B2" s="973" t="str">
        <f>head27</f>
        <v>Ref</v>
      </c>
      <c r="C2" s="115" t="str">
        <f>Head1</f>
        <v>2017/18</v>
      </c>
      <c r="D2" s="208" t="str">
        <f>Head2</f>
        <v>Budget Year 2018/19</v>
      </c>
      <c r="E2" s="192"/>
      <c r="F2" s="192"/>
      <c r="G2" s="192"/>
      <c r="H2" s="192"/>
      <c r="I2" s="192"/>
      <c r="J2" s="192"/>
      <c r="K2" s="193"/>
    </row>
    <row r="3" spans="1:11" ht="25.5" x14ac:dyDescent="0.25">
      <c r="A3" s="981"/>
      <c r="B3" s="987"/>
      <c r="C3" s="132" t="str">
        <f>Head5</f>
        <v>Audited Outcome</v>
      </c>
      <c r="D3" s="164" t="str">
        <f>Head6</f>
        <v>Original Budget</v>
      </c>
      <c r="E3" s="116" t="str">
        <f>Head7</f>
        <v>Adjusted Budget</v>
      </c>
      <c r="F3" s="116" t="str">
        <f>Head38</f>
        <v>Monthly actual</v>
      </c>
      <c r="G3" s="116" t="str">
        <f>Head39</f>
        <v>YearTD actual</v>
      </c>
      <c r="H3" s="116" t="str">
        <f>Head40</f>
        <v>YearTD budget</v>
      </c>
      <c r="I3" s="116" t="str">
        <f>Head41</f>
        <v>YTD variance</v>
      </c>
      <c r="J3" s="170" t="str">
        <f>Head41</f>
        <v>YTD variance</v>
      </c>
      <c r="K3" s="137" t="str">
        <f>Head8</f>
        <v>Full Year Forecast</v>
      </c>
    </row>
    <row r="4" spans="1:11" x14ac:dyDescent="0.25">
      <c r="A4" s="246" t="s">
        <v>678</v>
      </c>
      <c r="B4" s="211"/>
      <c r="C4" s="247"/>
      <c r="D4" s="248"/>
      <c r="E4" s="249"/>
      <c r="F4" s="250"/>
      <c r="G4" s="250"/>
      <c r="H4" s="250"/>
      <c r="I4" s="250"/>
      <c r="J4" s="251" t="s">
        <v>586</v>
      </c>
      <c r="K4" s="252"/>
    </row>
    <row r="5" spans="1:11" ht="12.75" customHeight="1" x14ac:dyDescent="0.25">
      <c r="A5" s="32" t="s">
        <v>988</v>
      </c>
      <c r="B5" s="142" t="s">
        <v>972</v>
      </c>
      <c r="C5" s="48"/>
      <c r="D5" s="255"/>
      <c r="E5" s="256"/>
      <c r="F5" s="256"/>
      <c r="G5" s="256"/>
      <c r="H5" s="256"/>
      <c r="I5" s="256"/>
      <c r="J5" s="256"/>
      <c r="K5" s="257"/>
    </row>
    <row r="6" spans="1:11" ht="5.0999999999999996" customHeight="1" x14ac:dyDescent="0.25">
      <c r="A6" s="32"/>
      <c r="B6" s="142"/>
      <c r="C6" s="48"/>
      <c r="D6" s="255"/>
      <c r="E6" s="256"/>
      <c r="F6" s="256"/>
      <c r="G6" s="256"/>
      <c r="H6" s="256"/>
      <c r="I6" s="256"/>
      <c r="J6" s="256"/>
      <c r="K6" s="257"/>
    </row>
    <row r="7" spans="1:11" ht="12.75" customHeight="1" x14ac:dyDescent="0.25">
      <c r="A7" s="32" t="s">
        <v>60</v>
      </c>
      <c r="B7" s="142"/>
      <c r="C7" s="48"/>
      <c r="D7" s="255"/>
      <c r="E7" s="256"/>
      <c r="F7" s="256"/>
      <c r="G7" s="256"/>
      <c r="H7" s="256"/>
      <c r="I7" s="256"/>
      <c r="J7" s="256"/>
      <c r="K7" s="257"/>
    </row>
    <row r="8" spans="1:11" ht="15.75" customHeight="1" x14ac:dyDescent="0.25">
      <c r="A8" s="88" t="s">
        <v>633</v>
      </c>
      <c r="B8" s="142"/>
      <c r="C8" s="91">
        <f t="shared" ref="C8:I8" si="0">SUM(C9:C14)</f>
        <v>101740000</v>
      </c>
      <c r="D8" s="47">
        <f t="shared" si="0"/>
        <v>113593000</v>
      </c>
      <c r="E8" s="46">
        <f t="shared" si="0"/>
        <v>113593000</v>
      </c>
      <c r="F8" s="46">
        <f t="shared" si="0"/>
        <v>0</v>
      </c>
      <c r="G8" s="46">
        <f t="shared" si="0"/>
        <v>113593000</v>
      </c>
      <c r="H8" s="46">
        <f t="shared" si="0"/>
        <v>113593000</v>
      </c>
      <c r="I8" s="46">
        <f t="shared" si="0"/>
        <v>0</v>
      </c>
      <c r="J8" s="291" t="str">
        <f t="shared" ref="J8:J39" si="1">IF(I8=0,"",I8/H8)</f>
        <v/>
      </c>
      <c r="K8" s="159">
        <f>SUM(K9:K14)</f>
        <v>113593000</v>
      </c>
    </row>
    <row r="9" spans="1:11" ht="12.75" customHeight="1" x14ac:dyDescent="0.25">
      <c r="A9" s="540" t="s">
        <v>1001</v>
      </c>
      <c r="B9" s="142"/>
      <c r="C9" s="541">
        <v>98097000</v>
      </c>
      <c r="D9" s="542">
        <v>108977000</v>
      </c>
      <c r="E9" s="516">
        <v>108977000</v>
      </c>
      <c r="F9" s="516">
        <v>0</v>
      </c>
      <c r="G9" s="516">
        <v>108977000</v>
      </c>
      <c r="H9" s="516">
        <v>108977000</v>
      </c>
      <c r="I9" s="404">
        <f t="shared" ref="I9:I14" si="2">G9-H9</f>
        <v>0</v>
      </c>
      <c r="J9" s="432" t="str">
        <f t="shared" si="1"/>
        <v/>
      </c>
      <c r="K9" s="518">
        <v>108977000</v>
      </c>
    </row>
    <row r="10" spans="1:11" ht="12.75" customHeight="1" x14ac:dyDescent="0.25">
      <c r="A10" s="540" t="s">
        <v>1541</v>
      </c>
      <c r="B10" s="142"/>
      <c r="C10" s="526">
        <v>1550000</v>
      </c>
      <c r="D10" s="328">
        <v>1550000</v>
      </c>
      <c r="E10" s="329">
        <v>1550000</v>
      </c>
      <c r="F10" s="329">
        <v>0</v>
      </c>
      <c r="G10" s="329">
        <v>1550000</v>
      </c>
      <c r="H10" s="329">
        <v>1550000</v>
      </c>
      <c r="I10" s="404">
        <f t="shared" si="2"/>
        <v>0</v>
      </c>
      <c r="J10" s="432" t="str">
        <f t="shared" si="1"/>
        <v/>
      </c>
      <c r="K10" s="517">
        <v>1550000</v>
      </c>
    </row>
    <row r="11" spans="1:11" ht="12.75" customHeight="1" x14ac:dyDescent="0.25">
      <c r="A11" s="540" t="s">
        <v>1542</v>
      </c>
      <c r="B11" s="142"/>
      <c r="C11" s="526">
        <v>0</v>
      </c>
      <c r="D11" s="328" t="s">
        <v>1544</v>
      </c>
      <c r="E11" s="329" t="s">
        <v>1544</v>
      </c>
      <c r="F11" s="329">
        <v>0</v>
      </c>
      <c r="G11" s="329">
        <v>0</v>
      </c>
      <c r="H11" s="329">
        <v>0</v>
      </c>
      <c r="I11" s="404">
        <f t="shared" si="2"/>
        <v>0</v>
      </c>
      <c r="J11" s="432" t="str">
        <f t="shared" si="1"/>
        <v/>
      </c>
      <c r="K11" s="517" t="s">
        <v>1544</v>
      </c>
    </row>
    <row r="12" spans="1:11" ht="12.75" customHeight="1" x14ac:dyDescent="0.25">
      <c r="A12" s="540" t="s">
        <v>1543</v>
      </c>
      <c r="B12" s="142"/>
      <c r="C12" s="526">
        <v>2093000</v>
      </c>
      <c r="D12" s="328">
        <v>3066000</v>
      </c>
      <c r="E12" s="329">
        <v>3066000</v>
      </c>
      <c r="F12" s="329">
        <v>0</v>
      </c>
      <c r="G12" s="329">
        <v>3066000</v>
      </c>
      <c r="H12" s="329">
        <v>3066000</v>
      </c>
      <c r="I12" s="404">
        <f t="shared" si="2"/>
        <v>0</v>
      </c>
      <c r="J12" s="432" t="str">
        <f t="shared" si="1"/>
        <v/>
      </c>
      <c r="K12" s="517">
        <v>3066000</v>
      </c>
    </row>
    <row r="13" spans="1:11" ht="12.75" customHeight="1" x14ac:dyDescent="0.25">
      <c r="A13" s="540"/>
      <c r="B13" s="142"/>
      <c r="C13" s="526"/>
      <c r="D13" s="328"/>
      <c r="E13" s="329"/>
      <c r="F13" s="329"/>
      <c r="G13" s="329"/>
      <c r="H13" s="329">
        <v>0</v>
      </c>
      <c r="I13" s="404">
        <f t="shared" si="2"/>
        <v>0</v>
      </c>
      <c r="J13" s="432" t="str">
        <f t="shared" si="1"/>
        <v/>
      </c>
      <c r="K13" s="517"/>
    </row>
    <row r="14" spans="1:11" ht="12.75" customHeight="1" x14ac:dyDescent="0.25">
      <c r="A14" s="540" t="s">
        <v>543</v>
      </c>
      <c r="B14" s="142"/>
      <c r="C14" s="526"/>
      <c r="D14" s="328"/>
      <c r="E14" s="329"/>
      <c r="F14" s="329"/>
      <c r="G14" s="329"/>
      <c r="H14" s="329"/>
      <c r="I14" s="41">
        <f t="shared" si="2"/>
        <v>0</v>
      </c>
      <c r="J14" s="101" t="str">
        <f t="shared" si="1"/>
        <v/>
      </c>
      <c r="K14" s="517"/>
    </row>
    <row r="15" spans="1:11" ht="12.75" customHeight="1" x14ac:dyDescent="0.25">
      <c r="A15" s="88" t="s">
        <v>634</v>
      </c>
      <c r="B15" s="142"/>
      <c r="C15" s="406">
        <f t="shared" ref="C15:I15" si="3">SUM(C16:C27)</f>
        <v>23184249.060000002</v>
      </c>
      <c r="D15" s="380">
        <f t="shared" si="3"/>
        <v>29500000</v>
      </c>
      <c r="E15" s="356">
        <f t="shared" si="3"/>
        <v>18553000</v>
      </c>
      <c r="F15" s="356">
        <f t="shared" si="3"/>
        <v>2550000</v>
      </c>
      <c r="G15" s="356">
        <f t="shared" si="3"/>
        <v>18120325.649999999</v>
      </c>
      <c r="H15" s="356">
        <f t="shared" si="3"/>
        <v>19303000</v>
      </c>
      <c r="I15" s="356">
        <f t="shared" si="3"/>
        <v>-1182674.3499999996</v>
      </c>
      <c r="J15" s="433">
        <f t="shared" si="1"/>
        <v>-6.1268940061130372E-2</v>
      </c>
      <c r="K15" s="403">
        <f>SUM(K16:K27)</f>
        <v>29500000</v>
      </c>
    </row>
    <row r="16" spans="1:11" ht="12.75" customHeight="1" x14ac:dyDescent="0.25">
      <c r="A16" s="540" t="s">
        <v>1545</v>
      </c>
      <c r="B16" s="142"/>
      <c r="C16" s="541">
        <v>13986549.1</v>
      </c>
      <c r="D16" s="542">
        <v>19500000</v>
      </c>
      <c r="E16" s="516">
        <v>7574000</v>
      </c>
      <c r="F16" s="516">
        <v>2550000</v>
      </c>
      <c r="G16" s="516">
        <v>6391325.6500000004</v>
      </c>
      <c r="H16" s="516">
        <v>7574000</v>
      </c>
      <c r="I16" s="404">
        <f t="shared" ref="I16:I38" si="4">G16-H16</f>
        <v>-1182674.3499999996</v>
      </c>
      <c r="J16" s="432">
        <f t="shared" si="1"/>
        <v>-0.15614924082387108</v>
      </c>
      <c r="K16" s="518">
        <v>19500000</v>
      </c>
    </row>
    <row r="17" spans="1:11" ht="12.75" customHeight="1" x14ac:dyDescent="0.25">
      <c r="A17" s="540" t="s">
        <v>1546</v>
      </c>
      <c r="B17" s="142"/>
      <c r="C17" s="526">
        <v>149000</v>
      </c>
      <c r="D17" s="328">
        <v>150000</v>
      </c>
      <c r="E17" s="329">
        <v>150000</v>
      </c>
      <c r="F17" s="329">
        <v>0</v>
      </c>
      <c r="G17" s="329">
        <v>150000</v>
      </c>
      <c r="H17" s="329">
        <v>150000</v>
      </c>
      <c r="I17" s="404">
        <f t="shared" si="4"/>
        <v>0</v>
      </c>
      <c r="J17" s="432" t="str">
        <f t="shared" si="1"/>
        <v/>
      </c>
      <c r="K17" s="517">
        <v>150000</v>
      </c>
    </row>
    <row r="18" spans="1:11" ht="12.75" customHeight="1" x14ac:dyDescent="0.25">
      <c r="A18" s="540" t="s">
        <v>1547</v>
      </c>
      <c r="B18" s="142"/>
      <c r="C18" s="526">
        <v>8427000</v>
      </c>
      <c r="D18" s="328">
        <v>9017000</v>
      </c>
      <c r="E18" s="329">
        <v>9017000</v>
      </c>
      <c r="F18" s="329">
        <v>0</v>
      </c>
      <c r="G18" s="329">
        <v>9017000</v>
      </c>
      <c r="H18" s="329">
        <v>9017000</v>
      </c>
      <c r="I18" s="404">
        <f t="shared" si="4"/>
        <v>0</v>
      </c>
      <c r="J18" s="432" t="str">
        <f t="shared" si="1"/>
        <v/>
      </c>
      <c r="K18" s="517">
        <v>9017000</v>
      </c>
    </row>
    <row r="19" spans="1:11" ht="12.75" customHeight="1" x14ac:dyDescent="0.25">
      <c r="A19" s="540" t="s">
        <v>1548</v>
      </c>
      <c r="B19" s="142">
        <v>4</v>
      </c>
      <c r="C19" s="526">
        <v>93000</v>
      </c>
      <c r="D19" s="328">
        <v>93000</v>
      </c>
      <c r="E19" s="329">
        <v>0</v>
      </c>
      <c r="F19" s="329">
        <v>0</v>
      </c>
      <c r="G19" s="329">
        <v>0</v>
      </c>
      <c r="H19" s="329">
        <v>0</v>
      </c>
      <c r="I19" s="404">
        <f t="shared" si="4"/>
        <v>0</v>
      </c>
      <c r="J19" s="432" t="str">
        <f t="shared" si="1"/>
        <v/>
      </c>
      <c r="K19" s="517">
        <v>93000</v>
      </c>
    </row>
    <row r="20" spans="1:11" ht="12.75" customHeight="1" x14ac:dyDescent="0.25">
      <c r="A20" s="540" t="s">
        <v>1549</v>
      </c>
      <c r="B20" s="142"/>
      <c r="C20" s="526"/>
      <c r="D20" s="328">
        <v>0</v>
      </c>
      <c r="E20" s="329">
        <v>0</v>
      </c>
      <c r="F20" s="329">
        <v>0</v>
      </c>
      <c r="G20" s="329">
        <v>0</v>
      </c>
      <c r="H20" s="329">
        <v>0</v>
      </c>
      <c r="I20" s="404">
        <f t="shared" si="4"/>
        <v>0</v>
      </c>
      <c r="J20" s="432" t="str">
        <f t="shared" si="1"/>
        <v/>
      </c>
      <c r="K20" s="517">
        <v>0</v>
      </c>
    </row>
    <row r="21" spans="1:11" ht="12.75" customHeight="1" x14ac:dyDescent="0.25">
      <c r="A21" s="540" t="s">
        <v>1550</v>
      </c>
      <c r="B21" s="142"/>
      <c r="C21" s="526"/>
      <c r="D21" s="328">
        <v>100000</v>
      </c>
      <c r="E21" s="329">
        <v>100000</v>
      </c>
      <c r="F21" s="329">
        <v>0</v>
      </c>
      <c r="G21" s="329">
        <v>100000</v>
      </c>
      <c r="H21" s="329">
        <v>100000</v>
      </c>
      <c r="I21" s="404">
        <f t="shared" si="4"/>
        <v>0</v>
      </c>
      <c r="J21" s="432" t="str">
        <f t="shared" si="1"/>
        <v/>
      </c>
      <c r="K21" s="517">
        <v>100000</v>
      </c>
    </row>
    <row r="22" spans="1:11" ht="12.75" customHeight="1" x14ac:dyDescent="0.25">
      <c r="A22" s="540" t="s">
        <v>1551</v>
      </c>
      <c r="B22" s="142"/>
      <c r="C22" s="526">
        <v>0</v>
      </c>
      <c r="D22" s="328">
        <v>360000</v>
      </c>
      <c r="E22" s="329">
        <v>360000</v>
      </c>
      <c r="F22" s="329">
        <v>0</v>
      </c>
      <c r="G22" s="329">
        <v>1110000</v>
      </c>
      <c r="H22" s="329">
        <v>1110000</v>
      </c>
      <c r="I22" s="404">
        <f t="shared" si="4"/>
        <v>0</v>
      </c>
      <c r="J22" s="432" t="str">
        <f t="shared" si="1"/>
        <v/>
      </c>
      <c r="K22" s="517">
        <v>360000</v>
      </c>
    </row>
    <row r="23" spans="1:11" ht="12.75" customHeight="1" x14ac:dyDescent="0.25">
      <c r="A23" s="540" t="s">
        <v>1552</v>
      </c>
      <c r="B23" s="142"/>
      <c r="C23" s="526">
        <v>100000</v>
      </c>
      <c r="D23" s="328">
        <v>0</v>
      </c>
      <c r="E23" s="329">
        <v>0</v>
      </c>
      <c r="F23" s="329">
        <v>0</v>
      </c>
      <c r="G23" s="329">
        <v>0</v>
      </c>
      <c r="H23" s="329">
        <v>0</v>
      </c>
      <c r="I23" s="404">
        <f t="shared" si="4"/>
        <v>0</v>
      </c>
      <c r="J23" s="432" t="str">
        <f t="shared" si="1"/>
        <v/>
      </c>
      <c r="K23" s="517">
        <v>0</v>
      </c>
    </row>
    <row r="24" spans="1:11" ht="12.75" customHeight="1" x14ac:dyDescent="0.25">
      <c r="A24" s="540" t="s">
        <v>1553</v>
      </c>
      <c r="B24" s="142"/>
      <c r="C24" s="526">
        <f>49500+280000</f>
        <v>329500</v>
      </c>
      <c r="D24" s="328">
        <v>280000</v>
      </c>
      <c r="E24" s="329">
        <v>1280000</v>
      </c>
      <c r="F24" s="329">
        <v>0</v>
      </c>
      <c r="G24" s="329">
        <v>1280000</v>
      </c>
      <c r="H24" s="329">
        <v>1280000</v>
      </c>
      <c r="I24" s="404">
        <f t="shared" si="4"/>
        <v>0</v>
      </c>
      <c r="J24" s="432" t="str">
        <f t="shared" si="1"/>
        <v/>
      </c>
      <c r="K24" s="517">
        <v>280000</v>
      </c>
    </row>
    <row r="25" spans="1:11" ht="12.75" customHeight="1" x14ac:dyDescent="0.25">
      <c r="A25" s="540" t="s">
        <v>1554</v>
      </c>
      <c r="B25" s="142"/>
      <c r="C25" s="526"/>
      <c r="D25" s="328">
        <v>0</v>
      </c>
      <c r="E25" s="329">
        <v>0</v>
      </c>
      <c r="F25" s="329">
        <v>0</v>
      </c>
      <c r="G25" s="329">
        <v>0</v>
      </c>
      <c r="H25" s="329">
        <v>0</v>
      </c>
      <c r="I25" s="404">
        <f t="shared" si="4"/>
        <v>0</v>
      </c>
      <c r="J25" s="432" t="str">
        <f t="shared" si="1"/>
        <v/>
      </c>
      <c r="K25" s="517">
        <v>0</v>
      </c>
    </row>
    <row r="26" spans="1:11" ht="12.75" customHeight="1" x14ac:dyDescent="0.25">
      <c r="A26" s="540" t="s">
        <v>1555</v>
      </c>
      <c r="B26" s="142"/>
      <c r="C26" s="526">
        <v>99199.96</v>
      </c>
      <c r="D26" s="328">
        <v>0</v>
      </c>
      <c r="E26" s="329">
        <v>72000</v>
      </c>
      <c r="F26" s="329">
        <v>0</v>
      </c>
      <c r="G26" s="329">
        <v>72000</v>
      </c>
      <c r="H26" s="329">
        <v>72000</v>
      </c>
      <c r="I26" s="404">
        <f t="shared" si="4"/>
        <v>0</v>
      </c>
      <c r="J26" s="432" t="str">
        <f t="shared" si="1"/>
        <v/>
      </c>
      <c r="K26" s="517">
        <v>0</v>
      </c>
    </row>
    <row r="27" spans="1:11" ht="12.75" customHeight="1" x14ac:dyDescent="0.25">
      <c r="A27" s="540" t="s">
        <v>543</v>
      </c>
      <c r="B27" s="142"/>
      <c r="C27" s="526"/>
      <c r="D27" s="328"/>
      <c r="E27" s="329"/>
      <c r="F27" s="329"/>
      <c r="G27" s="329"/>
      <c r="H27" s="329"/>
      <c r="I27" s="41">
        <f t="shared" si="4"/>
        <v>0</v>
      </c>
      <c r="J27" s="101" t="str">
        <f t="shared" si="1"/>
        <v/>
      </c>
      <c r="K27" s="517"/>
    </row>
    <row r="28" spans="1:11" ht="12.75" customHeight="1" x14ac:dyDescent="0.25">
      <c r="A28" s="88" t="s">
        <v>525</v>
      </c>
      <c r="B28" s="142"/>
      <c r="C28" s="406">
        <f t="shared" ref="C28:H28" si="5">SUM(C29:C30)</f>
        <v>668453.62</v>
      </c>
      <c r="D28" s="380">
        <f t="shared" si="5"/>
        <v>0</v>
      </c>
      <c r="E28" s="356">
        <f t="shared" si="5"/>
        <v>500000</v>
      </c>
      <c r="F28" s="356">
        <f t="shared" si="5"/>
        <v>0</v>
      </c>
      <c r="G28" s="356">
        <f t="shared" si="5"/>
        <v>500000</v>
      </c>
      <c r="H28" s="356">
        <f t="shared" si="5"/>
        <v>500000</v>
      </c>
      <c r="I28" s="404">
        <f t="shared" si="4"/>
        <v>0</v>
      </c>
      <c r="J28" s="432" t="str">
        <f t="shared" si="1"/>
        <v/>
      </c>
      <c r="K28" s="403">
        <f>SUM(K29:K30)</f>
        <v>0</v>
      </c>
    </row>
    <row r="29" spans="1:11" ht="12.75" customHeight="1" x14ac:dyDescent="0.25">
      <c r="A29" s="543" t="s">
        <v>1556</v>
      </c>
      <c r="B29" s="142"/>
      <c r="C29" s="545">
        <v>668453.62</v>
      </c>
      <c r="D29" s="546">
        <v>0</v>
      </c>
      <c r="E29" s="519">
        <v>500000</v>
      </c>
      <c r="F29" s="519">
        <v>0</v>
      </c>
      <c r="G29" s="519">
        <v>500000</v>
      </c>
      <c r="H29" s="519">
        <v>500000</v>
      </c>
      <c r="I29" s="404">
        <f t="shared" si="4"/>
        <v>0</v>
      </c>
      <c r="J29" s="432" t="str">
        <f t="shared" si="1"/>
        <v/>
      </c>
      <c r="K29" s="520"/>
    </row>
    <row r="30" spans="1:11" ht="12.75" customHeight="1" x14ac:dyDescent="0.25">
      <c r="A30" s="544"/>
      <c r="B30" s="142"/>
      <c r="C30" s="526"/>
      <c r="D30" s="328"/>
      <c r="E30" s="329"/>
      <c r="F30" s="329"/>
      <c r="G30" s="329"/>
      <c r="H30" s="329"/>
      <c r="I30" s="41">
        <f t="shared" si="4"/>
        <v>0</v>
      </c>
      <c r="J30" s="432" t="str">
        <f t="shared" si="1"/>
        <v/>
      </c>
      <c r="K30" s="517"/>
    </row>
    <row r="31" spans="1:11" ht="12.75" customHeight="1" x14ac:dyDescent="0.25">
      <c r="A31" s="88" t="s">
        <v>828</v>
      </c>
      <c r="B31" s="142"/>
      <c r="C31" s="406">
        <f t="shared" ref="C31:H31" si="6">SUM(C32:C38)</f>
        <v>3178050.37</v>
      </c>
      <c r="D31" s="380">
        <f t="shared" si="6"/>
        <v>3362247</v>
      </c>
      <c r="E31" s="356">
        <f t="shared" si="6"/>
        <v>3482247</v>
      </c>
      <c r="F31" s="356">
        <f t="shared" si="6"/>
        <v>0</v>
      </c>
      <c r="G31" s="356">
        <f t="shared" si="6"/>
        <v>1392638.95</v>
      </c>
      <c r="H31" s="356">
        <f t="shared" si="6"/>
        <v>3482247</v>
      </c>
      <c r="I31" s="404">
        <f t="shared" si="4"/>
        <v>-2089608.05</v>
      </c>
      <c r="J31" s="432">
        <f t="shared" si="1"/>
        <v>-0.60007462135799094</v>
      </c>
      <c r="K31" s="403">
        <f>SUM(K32:K38)</f>
        <v>3362247</v>
      </c>
    </row>
    <row r="32" spans="1:11" ht="12.75" customHeight="1" x14ac:dyDescent="0.25">
      <c r="A32" s="543" t="s">
        <v>1557</v>
      </c>
      <c r="B32" s="142"/>
      <c r="C32" s="545">
        <v>0</v>
      </c>
      <c r="D32" s="546">
        <v>500000</v>
      </c>
      <c r="E32" s="519">
        <v>500000</v>
      </c>
      <c r="F32" s="519">
        <v>0</v>
      </c>
      <c r="G32" s="519">
        <v>0</v>
      </c>
      <c r="H32" s="519">
        <v>500000</v>
      </c>
      <c r="I32" s="404">
        <f t="shared" si="4"/>
        <v>-500000</v>
      </c>
      <c r="J32" s="432">
        <f t="shared" si="1"/>
        <v>-1</v>
      </c>
      <c r="K32" s="520">
        <v>500000</v>
      </c>
    </row>
    <row r="33" spans="1:11" ht="12.75" customHeight="1" x14ac:dyDescent="0.25">
      <c r="A33" s="547" t="s">
        <v>1558</v>
      </c>
      <c r="B33" s="142"/>
      <c r="C33" s="548">
        <v>284587.7</v>
      </c>
      <c r="D33" s="549">
        <v>600000</v>
      </c>
      <c r="E33" s="550">
        <v>600000</v>
      </c>
      <c r="F33" s="550">
        <v>0</v>
      </c>
      <c r="G33" s="550">
        <v>638556.62</v>
      </c>
      <c r="H33" s="550">
        <v>600000</v>
      </c>
      <c r="I33" s="404">
        <f t="shared" si="4"/>
        <v>38556.619999999995</v>
      </c>
      <c r="J33" s="432">
        <f t="shared" si="1"/>
        <v>6.4261033333333328E-2</v>
      </c>
      <c r="K33" s="551">
        <v>600000</v>
      </c>
    </row>
    <row r="34" spans="1:11" ht="12.75" customHeight="1" x14ac:dyDescent="0.25">
      <c r="A34" s="547" t="s">
        <v>1559</v>
      </c>
      <c r="B34" s="142"/>
      <c r="C34" s="548">
        <v>2723462.67</v>
      </c>
      <c r="D34" s="549">
        <v>2262247</v>
      </c>
      <c r="E34" s="550">
        <v>2262247</v>
      </c>
      <c r="F34" s="550">
        <v>0</v>
      </c>
      <c r="G34" s="550">
        <v>754082.33</v>
      </c>
      <c r="H34" s="550">
        <v>2262247</v>
      </c>
      <c r="I34" s="404">
        <f t="shared" si="4"/>
        <v>-1508164.67</v>
      </c>
      <c r="J34" s="432">
        <f t="shared" si="1"/>
        <v>-0.66666666814012787</v>
      </c>
      <c r="K34" s="551">
        <v>2262247</v>
      </c>
    </row>
    <row r="35" spans="1:11" ht="12.75" customHeight="1" x14ac:dyDescent="0.25">
      <c r="A35" s="547" t="s">
        <v>1560</v>
      </c>
      <c r="B35" s="142"/>
      <c r="C35" s="548">
        <v>50000</v>
      </c>
      <c r="D35" s="549">
        <v>0</v>
      </c>
      <c r="E35" s="550">
        <v>0</v>
      </c>
      <c r="F35" s="550">
        <v>0</v>
      </c>
      <c r="G35" s="550">
        <v>0</v>
      </c>
      <c r="H35" s="550">
        <v>0</v>
      </c>
      <c r="I35" s="404">
        <f t="shared" si="4"/>
        <v>0</v>
      </c>
      <c r="J35" s="432" t="str">
        <f t="shared" si="1"/>
        <v/>
      </c>
      <c r="K35" s="551">
        <v>0</v>
      </c>
    </row>
    <row r="36" spans="1:11" ht="12.75" customHeight="1" x14ac:dyDescent="0.25">
      <c r="A36" s="547" t="s">
        <v>1564</v>
      </c>
      <c r="B36" s="142"/>
      <c r="C36" s="548">
        <v>120000</v>
      </c>
      <c r="D36" s="549"/>
      <c r="E36" s="550">
        <v>120000</v>
      </c>
      <c r="F36" s="550"/>
      <c r="G36" s="550"/>
      <c r="H36" s="550">
        <v>120000</v>
      </c>
      <c r="I36" s="404">
        <f t="shared" si="4"/>
        <v>-120000</v>
      </c>
      <c r="J36" s="101"/>
      <c r="K36" s="551"/>
    </row>
    <row r="37" spans="1:11" ht="12.75" hidden="1" customHeight="1" x14ac:dyDescent="0.25">
      <c r="A37" s="547"/>
      <c r="B37" s="142"/>
      <c r="C37" s="548"/>
      <c r="D37" s="549"/>
      <c r="E37" s="550"/>
      <c r="F37" s="550"/>
      <c r="G37" s="550"/>
      <c r="H37" s="550"/>
      <c r="I37" s="41"/>
      <c r="J37" s="101"/>
      <c r="K37" s="551"/>
    </row>
    <row r="38" spans="1:11" ht="12.75" hidden="1" customHeight="1" x14ac:dyDescent="0.25">
      <c r="A38" s="544"/>
      <c r="B38" s="142"/>
      <c r="C38" s="526"/>
      <c r="D38" s="328"/>
      <c r="E38" s="329"/>
      <c r="F38" s="329"/>
      <c r="G38" s="329"/>
      <c r="H38" s="329"/>
      <c r="I38" s="41">
        <f t="shared" si="4"/>
        <v>0</v>
      </c>
      <c r="J38" s="101" t="str">
        <f t="shared" si="1"/>
        <v/>
      </c>
      <c r="K38" s="517"/>
    </row>
    <row r="39" spans="1:11" ht="12.75" customHeight="1" x14ac:dyDescent="0.25">
      <c r="A39" s="438" t="s">
        <v>61</v>
      </c>
      <c r="B39" s="196">
        <v>5</v>
      </c>
      <c r="C39" s="206">
        <f t="shared" ref="C39:I39" si="7">C8+C15+C28+C31</f>
        <v>128770753.05000001</v>
      </c>
      <c r="D39" s="66">
        <f t="shared" si="7"/>
        <v>146455247</v>
      </c>
      <c r="E39" s="65">
        <f t="shared" si="7"/>
        <v>136128247</v>
      </c>
      <c r="F39" s="65">
        <f t="shared" si="7"/>
        <v>2550000</v>
      </c>
      <c r="G39" s="65">
        <f t="shared" si="7"/>
        <v>133605964.60000001</v>
      </c>
      <c r="H39" s="65">
        <f t="shared" si="7"/>
        <v>136878247</v>
      </c>
      <c r="I39" s="65">
        <f t="shared" si="7"/>
        <v>-3272282.3999999994</v>
      </c>
      <c r="J39" s="259">
        <f t="shared" si="1"/>
        <v>-2.390651890800442E-2</v>
      </c>
      <c r="K39" s="120">
        <f>K8+K15+K28+K31</f>
        <v>146455247</v>
      </c>
    </row>
    <row r="40" spans="1:11" ht="5.0999999999999996" customHeight="1" x14ac:dyDescent="0.25">
      <c r="A40" s="39"/>
      <c r="B40" s="142"/>
      <c r="C40" s="111"/>
      <c r="D40" s="43"/>
      <c r="E40" s="41"/>
      <c r="F40" s="41"/>
      <c r="G40" s="41"/>
      <c r="H40" s="41"/>
      <c r="I40" s="41"/>
      <c r="J40" s="101"/>
      <c r="K40" s="119"/>
    </row>
    <row r="41" spans="1:11" ht="12.75" customHeight="1" x14ac:dyDescent="0.25">
      <c r="A41" s="32" t="s">
        <v>62</v>
      </c>
      <c r="B41" s="142"/>
      <c r="C41" s="111"/>
      <c r="D41" s="43"/>
      <c r="E41" s="41"/>
      <c r="F41" s="41"/>
      <c r="G41" s="41"/>
      <c r="H41" s="41"/>
      <c r="I41" s="41"/>
      <c r="J41" s="101"/>
      <c r="K41" s="119"/>
    </row>
    <row r="42" spans="1:11" ht="18" customHeight="1" x14ac:dyDescent="0.25">
      <c r="A42" s="88" t="str">
        <f>A8</f>
        <v>National Government:</v>
      </c>
      <c r="B42" s="142"/>
      <c r="C42" s="111">
        <f t="shared" ref="C42:I42" si="8">SUM(C43:C46)</f>
        <v>41783279.789999999</v>
      </c>
      <c r="D42" s="43">
        <f t="shared" si="8"/>
        <v>38810000</v>
      </c>
      <c r="E42" s="41">
        <f t="shared" si="8"/>
        <v>38810000</v>
      </c>
      <c r="F42" s="41">
        <f t="shared" si="8"/>
        <v>0</v>
      </c>
      <c r="G42" s="41">
        <f t="shared" si="8"/>
        <v>38810000</v>
      </c>
      <c r="H42" s="41">
        <f t="shared" si="8"/>
        <v>38810000</v>
      </c>
      <c r="I42" s="41">
        <f t="shared" si="8"/>
        <v>0</v>
      </c>
      <c r="J42" s="291" t="str">
        <f t="shared" ref="J42:J66" si="9">IF(I42=0,"",I42/H42)</f>
        <v/>
      </c>
      <c r="K42" s="119">
        <f>SUM(K43:K46)</f>
        <v>38810000</v>
      </c>
    </row>
    <row r="43" spans="1:11" ht="12.75" customHeight="1" x14ac:dyDescent="0.25">
      <c r="A43" s="540" t="s">
        <v>1561</v>
      </c>
      <c r="B43" s="142"/>
      <c r="C43" s="541">
        <v>33783962.289999999</v>
      </c>
      <c r="D43" s="542">
        <v>33810000</v>
      </c>
      <c r="E43" s="516">
        <v>33810000</v>
      </c>
      <c r="F43" s="516">
        <v>0</v>
      </c>
      <c r="G43" s="516">
        <v>33810000</v>
      </c>
      <c r="H43" s="516">
        <v>33810000</v>
      </c>
      <c r="I43" s="404">
        <f>G43-H43</f>
        <v>0</v>
      </c>
      <c r="J43" s="432" t="str">
        <f t="shared" si="9"/>
        <v/>
      </c>
      <c r="K43" s="518">
        <v>33810000</v>
      </c>
    </row>
    <row r="44" spans="1:11" ht="12.75" customHeight="1" x14ac:dyDescent="0.25">
      <c r="A44" s="540" t="s">
        <v>1562</v>
      </c>
      <c r="B44" s="142"/>
      <c r="C44" s="526">
        <v>7999317.5</v>
      </c>
      <c r="D44" s="328">
        <v>5000000</v>
      </c>
      <c r="E44" s="329">
        <v>5000000</v>
      </c>
      <c r="F44" s="329">
        <v>0</v>
      </c>
      <c r="G44" s="329">
        <v>5000000</v>
      </c>
      <c r="H44" s="329">
        <v>5000000</v>
      </c>
      <c r="I44" s="404">
        <f>G44-H44</f>
        <v>0</v>
      </c>
      <c r="J44" s="432" t="str">
        <f t="shared" si="9"/>
        <v/>
      </c>
      <c r="K44" s="517">
        <v>5000000</v>
      </c>
    </row>
    <row r="45" spans="1:11" ht="12.75" hidden="1" customHeight="1" x14ac:dyDescent="0.25">
      <c r="A45" s="540"/>
      <c r="B45" s="142"/>
      <c r="C45" s="526"/>
      <c r="D45" s="328"/>
      <c r="E45" s="329"/>
      <c r="F45" s="329"/>
      <c r="G45" s="329"/>
      <c r="H45" s="329">
        <v>0</v>
      </c>
      <c r="I45" s="404">
        <f>G45-H45</f>
        <v>0</v>
      </c>
      <c r="J45" s="432" t="str">
        <f t="shared" si="9"/>
        <v/>
      </c>
      <c r="K45" s="517"/>
    </row>
    <row r="46" spans="1:11" ht="12.75" customHeight="1" x14ac:dyDescent="0.25">
      <c r="A46" s="540" t="s">
        <v>544</v>
      </c>
      <c r="B46" s="142"/>
      <c r="C46" s="526"/>
      <c r="D46" s="328"/>
      <c r="E46" s="329"/>
      <c r="F46" s="329"/>
      <c r="G46" s="329"/>
      <c r="H46" s="329"/>
      <c r="I46" s="41">
        <f>G46-H46</f>
        <v>0</v>
      </c>
      <c r="J46" s="101" t="str">
        <f t="shared" si="9"/>
        <v/>
      </c>
      <c r="K46" s="517"/>
    </row>
    <row r="47" spans="1:11" ht="12.75" customHeight="1" x14ac:dyDescent="0.25">
      <c r="A47" s="290" t="str">
        <f>A15</f>
        <v>Provincial Government:</v>
      </c>
      <c r="B47" s="142"/>
      <c r="C47" s="406">
        <f t="shared" ref="C47:H47" si="10">SUM(C48:C53)</f>
        <v>31576329.189999998</v>
      </c>
      <c r="D47" s="380">
        <f t="shared" si="10"/>
        <v>102280000</v>
      </c>
      <c r="E47" s="356">
        <f t="shared" si="10"/>
        <v>103030000</v>
      </c>
      <c r="F47" s="356">
        <f t="shared" si="10"/>
        <v>0</v>
      </c>
      <c r="G47" s="356">
        <f t="shared" si="10"/>
        <v>74369386.959999993</v>
      </c>
      <c r="H47" s="356">
        <f t="shared" si="10"/>
        <v>102280000</v>
      </c>
      <c r="I47" s="404">
        <f t="shared" ref="I47:I63" si="11">G47-H47</f>
        <v>-27910613.040000007</v>
      </c>
      <c r="J47" s="432">
        <f>IF(I47=0,"",I47/H47)</f>
        <v>-0.27288436683613615</v>
      </c>
      <c r="K47" s="403">
        <f>SUM(K48:K53)</f>
        <v>102280000</v>
      </c>
    </row>
    <row r="48" spans="1:11" ht="12.75" customHeight="1" x14ac:dyDescent="0.25">
      <c r="A48" s="543" t="s">
        <v>1545</v>
      </c>
      <c r="B48" s="142"/>
      <c r="C48" s="545">
        <v>27537325.350000001</v>
      </c>
      <c r="D48" s="546">
        <v>98580000</v>
      </c>
      <c r="E48" s="329">
        <v>98580000</v>
      </c>
      <c r="F48" s="329">
        <v>0</v>
      </c>
      <c r="G48" s="329">
        <v>70669386.959999993</v>
      </c>
      <c r="H48" s="329">
        <v>98580000</v>
      </c>
      <c r="I48" s="404">
        <f t="shared" si="11"/>
        <v>-27910613.040000007</v>
      </c>
      <c r="J48" s="432">
        <f>IF(I48=0,"",I48/H48)</f>
        <v>-0.2831265270846014</v>
      </c>
      <c r="K48" s="520">
        <v>98580000</v>
      </c>
    </row>
    <row r="49" spans="1:11" ht="12.75" customHeight="1" x14ac:dyDescent="0.25">
      <c r="A49" s="547" t="s">
        <v>1549</v>
      </c>
      <c r="B49" s="142"/>
      <c r="C49" s="548">
        <v>3274485.26</v>
      </c>
      <c r="D49" s="549">
        <v>3200000</v>
      </c>
      <c r="E49" s="329">
        <v>3200000</v>
      </c>
      <c r="F49" s="329">
        <v>0</v>
      </c>
      <c r="G49" s="329">
        <v>3200000</v>
      </c>
      <c r="H49" s="329">
        <v>3200000</v>
      </c>
      <c r="I49" s="404">
        <f t="shared" si="11"/>
        <v>0</v>
      </c>
      <c r="J49" s="432" t="str">
        <f t="shared" ref="J49:J51" si="12">IF(I49=0,"",I49/H49)</f>
        <v/>
      </c>
      <c r="K49" s="551">
        <v>3200000</v>
      </c>
    </row>
    <row r="50" spans="1:11" ht="12.75" customHeight="1" x14ac:dyDescent="0.25">
      <c r="A50" s="547" t="s">
        <v>1551</v>
      </c>
      <c r="B50" s="142"/>
      <c r="C50" s="548"/>
      <c r="D50" s="549">
        <v>0</v>
      </c>
      <c r="E50" s="329">
        <v>750000</v>
      </c>
      <c r="F50" s="329">
        <v>0</v>
      </c>
      <c r="G50" s="329">
        <v>0</v>
      </c>
      <c r="H50" s="329">
        <v>0</v>
      </c>
      <c r="I50" s="404">
        <f t="shared" si="11"/>
        <v>0</v>
      </c>
      <c r="J50" s="432" t="str">
        <f t="shared" si="12"/>
        <v/>
      </c>
      <c r="K50" s="551">
        <v>0</v>
      </c>
    </row>
    <row r="51" spans="1:11" ht="12.75" customHeight="1" x14ac:dyDescent="0.25">
      <c r="A51" s="547" t="s">
        <v>1547</v>
      </c>
      <c r="B51" s="142"/>
      <c r="C51" s="548">
        <v>764518.58</v>
      </c>
      <c r="D51" s="549">
        <v>500000</v>
      </c>
      <c r="E51" s="329">
        <v>500000</v>
      </c>
      <c r="F51" s="329">
        <v>0</v>
      </c>
      <c r="G51" s="329">
        <v>500000</v>
      </c>
      <c r="H51" s="329">
        <v>500000</v>
      </c>
      <c r="I51" s="404">
        <f t="shared" si="11"/>
        <v>0</v>
      </c>
      <c r="J51" s="432" t="str">
        <f t="shared" si="12"/>
        <v/>
      </c>
      <c r="K51" s="551">
        <v>500000</v>
      </c>
    </row>
    <row r="52" spans="1:11" ht="12.75" hidden="1" customHeight="1" x14ac:dyDescent="0.25">
      <c r="A52" s="547"/>
      <c r="B52" s="142"/>
      <c r="C52" s="548"/>
      <c r="D52" s="549"/>
      <c r="E52" s="329"/>
      <c r="F52" s="329">
        <v>0</v>
      </c>
      <c r="G52" s="329">
        <v>0</v>
      </c>
      <c r="H52" s="329">
        <v>0</v>
      </c>
      <c r="I52" s="41"/>
      <c r="J52" s="101"/>
      <c r="K52" s="551"/>
    </row>
    <row r="53" spans="1:11" ht="12.75" hidden="1" customHeight="1" x14ac:dyDescent="0.25">
      <c r="A53" s="544"/>
      <c r="B53" s="142"/>
      <c r="C53" s="526"/>
      <c r="D53" s="328"/>
      <c r="E53" s="329"/>
      <c r="F53" s="329"/>
      <c r="G53" s="329"/>
      <c r="H53" s="329"/>
      <c r="I53" s="41">
        <f t="shared" si="11"/>
        <v>0</v>
      </c>
      <c r="J53" s="101" t="str">
        <f t="shared" si="9"/>
        <v/>
      </c>
      <c r="K53" s="517"/>
    </row>
    <row r="54" spans="1:11" ht="12.75" customHeight="1" x14ac:dyDescent="0.25">
      <c r="A54" s="88" t="str">
        <f>A28</f>
        <v>District Municipality:</v>
      </c>
      <c r="B54" s="142"/>
      <c r="C54" s="406">
        <f t="shared" ref="C54:H54" si="13">SUM(C55:C56)</f>
        <v>0</v>
      </c>
      <c r="D54" s="380">
        <f t="shared" si="13"/>
        <v>0</v>
      </c>
      <c r="E54" s="356">
        <f t="shared" si="13"/>
        <v>500000</v>
      </c>
      <c r="F54" s="356">
        <f t="shared" si="13"/>
        <v>0</v>
      </c>
      <c r="G54" s="356">
        <f t="shared" si="13"/>
        <v>0</v>
      </c>
      <c r="H54" s="356">
        <f t="shared" si="13"/>
        <v>500000</v>
      </c>
      <c r="I54" s="404">
        <f t="shared" si="11"/>
        <v>-500000</v>
      </c>
      <c r="J54" s="432">
        <f t="shared" si="9"/>
        <v>-1</v>
      </c>
      <c r="K54" s="403">
        <f>SUM(K55:K56)</f>
        <v>0</v>
      </c>
    </row>
    <row r="55" spans="1:11" ht="12.75" customHeight="1" x14ac:dyDescent="0.25">
      <c r="A55" s="543" t="s">
        <v>1556</v>
      </c>
      <c r="B55" s="142"/>
      <c r="C55" s="545"/>
      <c r="D55" s="546">
        <v>0</v>
      </c>
      <c r="E55" s="519">
        <v>500000</v>
      </c>
      <c r="F55" s="519">
        <v>0</v>
      </c>
      <c r="G55" s="519">
        <v>0</v>
      </c>
      <c r="H55" s="519">
        <v>500000</v>
      </c>
      <c r="I55" s="404">
        <f t="shared" si="11"/>
        <v>-500000</v>
      </c>
      <c r="J55" s="432">
        <f t="shared" si="9"/>
        <v>-1</v>
      </c>
      <c r="K55" s="520"/>
    </row>
    <row r="56" spans="1:11" ht="12.75" hidden="1" customHeight="1" x14ac:dyDescent="0.25">
      <c r="A56" s="544"/>
      <c r="B56" s="142"/>
      <c r="C56" s="526"/>
      <c r="D56" s="328"/>
      <c r="E56" s="329"/>
      <c r="F56" s="329"/>
      <c r="G56" s="329"/>
      <c r="H56" s="329"/>
      <c r="I56" s="41">
        <f t="shared" si="11"/>
        <v>0</v>
      </c>
      <c r="J56" s="101" t="str">
        <f t="shared" si="9"/>
        <v/>
      </c>
      <c r="K56" s="517"/>
    </row>
    <row r="57" spans="1:11" ht="12.75" customHeight="1" x14ac:dyDescent="0.25">
      <c r="A57" s="88" t="str">
        <f>A31</f>
        <v>Other grant providers:</v>
      </c>
      <c r="B57" s="142"/>
      <c r="C57" s="406">
        <f t="shared" ref="C57:H57" si="14">SUM(C58:C63)</f>
        <v>0</v>
      </c>
      <c r="D57" s="380">
        <f t="shared" si="14"/>
        <v>0</v>
      </c>
      <c r="E57" s="356">
        <f t="shared" si="14"/>
        <v>0</v>
      </c>
      <c r="F57" s="356">
        <f t="shared" si="14"/>
        <v>0</v>
      </c>
      <c r="G57" s="356">
        <f t="shared" si="14"/>
        <v>0</v>
      </c>
      <c r="H57" s="356">
        <f t="shared" si="14"/>
        <v>0</v>
      </c>
      <c r="I57" s="404">
        <f t="shared" si="11"/>
        <v>0</v>
      </c>
      <c r="J57" s="432" t="str">
        <f t="shared" si="9"/>
        <v/>
      </c>
      <c r="K57" s="403">
        <f>SUM(K58:K63)</f>
        <v>0</v>
      </c>
    </row>
    <row r="58" spans="1:11" ht="12.75" customHeight="1" x14ac:dyDescent="0.25">
      <c r="A58" s="543" t="s">
        <v>578</v>
      </c>
      <c r="B58" s="142"/>
      <c r="C58" s="545"/>
      <c r="D58" s="546">
        <v>0</v>
      </c>
      <c r="E58" s="519">
        <v>0</v>
      </c>
      <c r="F58" s="519">
        <v>0</v>
      </c>
      <c r="G58" s="519">
        <v>0</v>
      </c>
      <c r="H58" s="519">
        <v>0</v>
      </c>
      <c r="I58" s="404">
        <f t="shared" si="11"/>
        <v>0</v>
      </c>
      <c r="J58" s="432" t="str">
        <f>IF(I58=0,"",I58/H58)</f>
        <v/>
      </c>
      <c r="K58" s="520"/>
    </row>
    <row r="59" spans="1:11" ht="12.75" hidden="1" customHeight="1" x14ac:dyDescent="0.25">
      <c r="A59" s="547"/>
      <c r="B59" s="142"/>
      <c r="C59" s="548"/>
      <c r="D59" s="549"/>
      <c r="E59" s="550"/>
      <c r="F59" s="550"/>
      <c r="G59" s="550"/>
      <c r="H59" s="550"/>
      <c r="I59" s="41"/>
      <c r="J59" s="101"/>
      <c r="K59" s="551"/>
    </row>
    <row r="60" spans="1:11" ht="12.75" hidden="1" customHeight="1" x14ac:dyDescent="0.25">
      <c r="A60" s="547"/>
      <c r="B60" s="142"/>
      <c r="C60" s="548"/>
      <c r="D60" s="549"/>
      <c r="E60" s="550"/>
      <c r="F60" s="550"/>
      <c r="G60" s="550"/>
      <c r="H60" s="550"/>
      <c r="I60" s="41"/>
      <c r="J60" s="101"/>
      <c r="K60" s="551"/>
    </row>
    <row r="61" spans="1:11" ht="12.75" hidden="1" customHeight="1" x14ac:dyDescent="0.25">
      <c r="A61" s="547"/>
      <c r="B61" s="142"/>
      <c r="C61" s="548"/>
      <c r="D61" s="549"/>
      <c r="E61" s="550"/>
      <c r="F61" s="550"/>
      <c r="G61" s="550"/>
      <c r="H61" s="550"/>
      <c r="I61" s="41"/>
      <c r="J61" s="101"/>
      <c r="K61" s="551"/>
    </row>
    <row r="62" spans="1:11" ht="12.75" hidden="1" customHeight="1" x14ac:dyDescent="0.25">
      <c r="A62" s="547"/>
      <c r="B62" s="142"/>
      <c r="C62" s="548"/>
      <c r="D62" s="549"/>
      <c r="E62" s="550"/>
      <c r="F62" s="550"/>
      <c r="G62" s="550"/>
      <c r="H62" s="550"/>
      <c r="I62" s="41"/>
      <c r="J62" s="101"/>
      <c r="K62" s="551"/>
    </row>
    <row r="63" spans="1:11" ht="12.75" hidden="1" customHeight="1" x14ac:dyDescent="0.25">
      <c r="A63" s="544"/>
      <c r="B63" s="142"/>
      <c r="C63" s="526"/>
      <c r="D63" s="328"/>
      <c r="E63" s="329"/>
      <c r="F63" s="329"/>
      <c r="G63" s="329"/>
      <c r="H63" s="329"/>
      <c r="I63" s="41">
        <f t="shared" si="11"/>
        <v>0</v>
      </c>
      <c r="J63" s="101" t="str">
        <f t="shared" si="9"/>
        <v/>
      </c>
      <c r="K63" s="517"/>
    </row>
    <row r="64" spans="1:11" ht="12.75" customHeight="1" x14ac:dyDescent="0.25">
      <c r="A64" s="437" t="s">
        <v>63</v>
      </c>
      <c r="B64" s="264">
        <v>5</v>
      </c>
      <c r="C64" s="406">
        <f t="shared" ref="C64:I64" si="15">C42+C47+C54+C57</f>
        <v>73359608.979999989</v>
      </c>
      <c r="D64" s="380">
        <f t="shared" si="15"/>
        <v>141090000</v>
      </c>
      <c r="E64" s="356">
        <f t="shared" si="15"/>
        <v>142340000</v>
      </c>
      <c r="F64" s="356">
        <f t="shared" si="15"/>
        <v>0</v>
      </c>
      <c r="G64" s="356">
        <f t="shared" si="15"/>
        <v>113179386.95999999</v>
      </c>
      <c r="H64" s="356">
        <f t="shared" si="15"/>
        <v>141590000</v>
      </c>
      <c r="I64" s="356">
        <f t="shared" si="15"/>
        <v>-28410613.040000007</v>
      </c>
      <c r="J64" s="433">
        <f t="shared" si="9"/>
        <v>-0.20065409308566995</v>
      </c>
      <c r="K64" s="403">
        <f>K42+K47+K54+K57</f>
        <v>141090000</v>
      </c>
    </row>
    <row r="65" spans="1:11" ht="5.0999999999999996" customHeight="1" x14ac:dyDescent="0.25">
      <c r="A65" s="434"/>
      <c r="B65" s="211"/>
      <c r="C65" s="212"/>
      <c r="D65" s="435"/>
      <c r="E65" s="85"/>
      <c r="F65" s="85"/>
      <c r="G65" s="85"/>
      <c r="H65" s="85"/>
      <c r="I65" s="85"/>
      <c r="J65" s="275"/>
      <c r="K65" s="160"/>
    </row>
    <row r="66" spans="1:11" ht="12.75" customHeight="1" x14ac:dyDescent="0.25">
      <c r="A66" s="436" t="s">
        <v>64</v>
      </c>
      <c r="B66" s="199">
        <v>5</v>
      </c>
      <c r="C66" s="133">
        <f t="shared" ref="C66:I66" si="16">C39+C64</f>
        <v>202130362.03</v>
      </c>
      <c r="D66" s="260">
        <f t="shared" si="16"/>
        <v>287545247</v>
      </c>
      <c r="E66" s="261">
        <f t="shared" si="16"/>
        <v>278468247</v>
      </c>
      <c r="F66" s="261">
        <f t="shared" si="16"/>
        <v>2550000</v>
      </c>
      <c r="G66" s="261">
        <f t="shared" si="16"/>
        <v>246785351.56</v>
      </c>
      <c r="H66" s="261">
        <f t="shared" si="16"/>
        <v>278468247</v>
      </c>
      <c r="I66" s="261">
        <f t="shared" si="16"/>
        <v>-31682895.440000005</v>
      </c>
      <c r="J66" s="262">
        <f t="shared" si="9"/>
        <v>-0.113775612772109</v>
      </c>
      <c r="K66" s="263">
        <f>K39+K64</f>
        <v>287545247</v>
      </c>
    </row>
    <row r="67" spans="1:11" ht="12.75" customHeight="1" x14ac:dyDescent="0.25">
      <c r="A67" s="53" t="str">
        <f>head27a</f>
        <v>References</v>
      </c>
      <c r="C67" s="55"/>
      <c r="D67" s="55"/>
      <c r="E67" s="55"/>
      <c r="F67" s="55"/>
      <c r="G67" s="55"/>
      <c r="H67" s="55"/>
      <c r="I67" s="55"/>
      <c r="J67" s="55"/>
      <c r="K67" s="55"/>
    </row>
    <row r="68" spans="1:11" ht="12.75" customHeight="1" x14ac:dyDescent="0.25">
      <c r="A68" s="72" t="s">
        <v>986</v>
      </c>
      <c r="C68" s="55"/>
      <c r="D68" s="55"/>
      <c r="E68" s="55"/>
      <c r="F68" s="55"/>
      <c r="G68" s="55"/>
      <c r="H68" s="55"/>
      <c r="I68" s="55"/>
      <c r="J68" s="55"/>
      <c r="K68" s="55"/>
    </row>
    <row r="69" spans="1:11" ht="12.75" customHeight="1" x14ac:dyDescent="0.25">
      <c r="A69" s="72" t="s">
        <v>938</v>
      </c>
      <c r="C69" s="55"/>
      <c r="D69" s="55"/>
      <c r="E69" s="55"/>
      <c r="F69" s="55"/>
      <c r="G69" s="55"/>
      <c r="H69" s="55"/>
      <c r="I69" s="55"/>
      <c r="J69" s="55"/>
      <c r="K69" s="55"/>
    </row>
    <row r="70" spans="1:11" ht="12.75" customHeight="1" x14ac:dyDescent="0.25">
      <c r="A70" s="72" t="s">
        <v>827</v>
      </c>
      <c r="C70" s="55"/>
      <c r="D70" s="55"/>
      <c r="E70" s="55"/>
      <c r="F70" s="55"/>
      <c r="G70" s="55"/>
      <c r="H70" s="55"/>
      <c r="I70" s="55"/>
      <c r="J70" s="55"/>
      <c r="K70" s="55"/>
    </row>
    <row r="71" spans="1:11" ht="12.75" customHeight="1" x14ac:dyDescent="0.25">
      <c r="A71" s="56" t="s">
        <v>524</v>
      </c>
      <c r="C71" s="55"/>
      <c r="D71" s="55"/>
      <c r="E71" s="55"/>
      <c r="F71" s="55"/>
      <c r="G71" s="55"/>
      <c r="H71" s="55"/>
      <c r="I71" s="55"/>
      <c r="J71" s="55"/>
      <c r="K71" s="55"/>
    </row>
    <row r="72" spans="1:11" ht="12.75" customHeight="1" x14ac:dyDescent="0.25">
      <c r="A72" s="19" t="s">
        <v>614</v>
      </c>
      <c r="B72" s="58"/>
      <c r="C72" s="76"/>
      <c r="D72" s="82"/>
      <c r="E72" s="76"/>
      <c r="F72" s="76"/>
      <c r="G72" s="76"/>
      <c r="H72" s="76"/>
      <c r="I72" s="76"/>
      <c r="J72" s="76"/>
      <c r="K72" s="76"/>
    </row>
    <row r="73" spans="1:11" ht="11.25" customHeight="1" x14ac:dyDescent="0.25">
      <c r="A73" s="150"/>
    </row>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sheetData>
  <mergeCells count="3">
    <mergeCell ref="A2:A3"/>
    <mergeCell ref="B2:B3"/>
    <mergeCell ref="A1:K1"/>
  </mergeCells>
  <phoneticPr fontId="3" type="noConversion"/>
  <dataValidations count="3">
    <dataValidation type="list" allowBlank="1" showInputMessage="1" showErrorMessage="1" sqref="A9:A13" xr:uid="{00000000-0002-0000-1500-000000000000}">
      <formula1>NatOpexGrantNames</formula1>
    </dataValidation>
    <dataValidation type="list" allowBlank="1" showInputMessage="1" showErrorMessage="1" sqref="A16:A26" xr:uid="{00000000-0002-0000-1500-000001000000}">
      <formula1>ProvOpexGrantNames</formula1>
    </dataValidation>
    <dataValidation type="list" allowBlank="1" showInputMessage="1" showErrorMessage="1" sqref="A43:A45" xr:uid="{00000000-0002-0000-1500-000002000000}">
      <formula1>NatCapexGrantNames</formula1>
    </dataValidation>
  </dataValidations>
  <printOptions horizontalCentered="1"/>
  <pageMargins left="0.36" right="0.17" top="0.78" bottom="0.59" header="0.51181102362204722" footer="0.41"/>
  <pageSetup paperSize="9" scale="8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2">
    <tabColor indexed="42"/>
    <pageSetUpPr fitToPage="1"/>
  </sheetPr>
  <dimension ref="A1:K93"/>
  <sheetViews>
    <sheetView showGridLines="0" showZeros="0" zoomScaleNormal="100" workbookViewId="0">
      <pane xSplit="1" ySplit="4" topLeftCell="B5" activePane="bottomRight" state="frozen"/>
      <selection pane="topRight"/>
      <selection pane="bottomLeft"/>
      <selection pane="bottomRight" activeCell="H56" sqref="H56"/>
    </sheetView>
  </sheetViews>
  <sheetFormatPr defaultColWidth="9.140625" defaultRowHeight="12.75" x14ac:dyDescent="0.25"/>
  <cols>
    <col min="1" max="1" width="40.7109375" style="22" customWidth="1"/>
    <col min="2" max="2" width="3.5703125" style="54" customWidth="1"/>
    <col min="3" max="8" width="8.7109375" style="22" customWidth="1"/>
    <col min="9" max="10" width="6.7109375" style="22" customWidth="1"/>
    <col min="11" max="11" width="8.7109375" style="22" customWidth="1"/>
    <col min="12" max="12" width="9.85546875" style="22" customWidth="1"/>
    <col min="13" max="13" width="9.5703125" style="22" customWidth="1"/>
    <col min="14" max="14" width="9.85546875" style="22" customWidth="1"/>
    <col min="15" max="17" width="9.5703125" style="22" customWidth="1"/>
    <col min="18" max="18" width="9.85546875" style="22" customWidth="1"/>
    <col min="19" max="21" width="9.5703125" style="22" customWidth="1"/>
    <col min="22" max="23" width="9.85546875" style="22" customWidth="1"/>
    <col min="24" max="16384" width="9.140625" style="22"/>
  </cols>
  <sheetData>
    <row r="1" spans="1:11" ht="13.5" x14ac:dyDescent="0.25">
      <c r="A1" s="1003" t="str">
        <f>muni&amp; " - "&amp;S71M&amp; " - "&amp;Head57</f>
        <v>WC025 Breede Valley - Supporting Table SC7(1) Monthly Budget Statement - transfers and grant expenditure  - Q4 Fourth Quarter</v>
      </c>
      <c r="B1" s="1003"/>
      <c r="C1" s="1003"/>
      <c r="D1" s="1003"/>
      <c r="E1" s="1003"/>
      <c r="F1" s="1003"/>
      <c r="G1" s="1003"/>
      <c r="H1" s="1003"/>
      <c r="I1" s="1003"/>
      <c r="J1" s="1003"/>
      <c r="K1" s="1003"/>
    </row>
    <row r="2" spans="1:11" x14ac:dyDescent="0.25">
      <c r="A2" s="980" t="str">
        <f>desc</f>
        <v>Description</v>
      </c>
      <c r="B2" s="973" t="str">
        <f>head27</f>
        <v>Ref</v>
      </c>
      <c r="C2" s="115" t="str">
        <f>Head1</f>
        <v>2017/18</v>
      </c>
      <c r="D2" s="208" t="str">
        <f>Head2</f>
        <v>Budget Year 2018/19</v>
      </c>
      <c r="E2" s="192"/>
      <c r="F2" s="192"/>
      <c r="G2" s="192"/>
      <c r="H2" s="192"/>
      <c r="I2" s="192"/>
      <c r="J2" s="192"/>
      <c r="K2" s="193"/>
    </row>
    <row r="3" spans="1:11" ht="25.5" x14ac:dyDescent="0.25">
      <c r="A3" s="981"/>
      <c r="B3" s="987"/>
      <c r="C3" s="132" t="str">
        <f>Head5</f>
        <v>Audited Outcome</v>
      </c>
      <c r="D3" s="220" t="str">
        <f>Head6</f>
        <v>Original Budget</v>
      </c>
      <c r="E3" s="116" t="str">
        <f>Head7</f>
        <v>Adjusted Budget</v>
      </c>
      <c r="F3" s="116" t="str">
        <f>Head38</f>
        <v>Monthly actual</v>
      </c>
      <c r="G3" s="116" t="str">
        <f>Head39</f>
        <v>YearTD actual</v>
      </c>
      <c r="H3" s="116" t="str">
        <f>Head40</f>
        <v>YearTD budget</v>
      </c>
      <c r="I3" s="116" t="str">
        <f>Head41</f>
        <v>YTD variance</v>
      </c>
      <c r="J3" s="170" t="str">
        <f>Head41</f>
        <v>YTD variance</v>
      </c>
      <c r="K3" s="137" t="str">
        <f>Head8</f>
        <v>Full Year Forecast</v>
      </c>
    </row>
    <row r="4" spans="1:11" x14ac:dyDescent="0.25">
      <c r="A4" s="246" t="s">
        <v>678</v>
      </c>
      <c r="B4" s="211"/>
      <c r="C4" s="247"/>
      <c r="D4" s="253"/>
      <c r="E4" s="249"/>
      <c r="F4" s="250"/>
      <c r="G4" s="250"/>
      <c r="H4" s="250"/>
      <c r="I4" s="250"/>
      <c r="J4" s="251" t="s">
        <v>586</v>
      </c>
      <c r="K4" s="252"/>
    </row>
    <row r="5" spans="1:11" ht="12.75" customHeight="1" x14ac:dyDescent="0.25">
      <c r="A5" s="112" t="s">
        <v>545</v>
      </c>
      <c r="B5" s="264"/>
      <c r="C5" s="111"/>
      <c r="D5" s="43"/>
      <c r="E5" s="41"/>
      <c r="F5" s="41"/>
      <c r="G5" s="41"/>
      <c r="H5" s="41"/>
      <c r="I5" s="41"/>
      <c r="J5" s="101"/>
      <c r="K5" s="119"/>
    </row>
    <row r="6" spans="1:11" ht="5.0999999999999996" customHeight="1" x14ac:dyDescent="0.25">
      <c r="A6" s="32"/>
      <c r="B6" s="142"/>
      <c r="C6" s="111"/>
      <c r="D6" s="43"/>
      <c r="E6" s="41"/>
      <c r="F6" s="41"/>
      <c r="G6" s="41"/>
      <c r="H6" s="41"/>
      <c r="I6" s="41"/>
      <c r="J6" s="101"/>
      <c r="K6" s="119"/>
    </row>
    <row r="7" spans="1:11" ht="12.75" customHeight="1" x14ac:dyDescent="0.25">
      <c r="A7" s="32" t="s">
        <v>56</v>
      </c>
      <c r="B7" s="142"/>
      <c r="C7" s="111"/>
      <c r="D7" s="43"/>
      <c r="E7" s="41"/>
      <c r="F7" s="41"/>
      <c r="G7" s="41"/>
      <c r="H7" s="41"/>
      <c r="I7" s="41"/>
      <c r="J7" s="101"/>
      <c r="K7" s="119"/>
    </row>
    <row r="8" spans="1:11" ht="14.25" customHeight="1" x14ac:dyDescent="0.25">
      <c r="A8" s="88" t="str">
        <f>'SC6'!A8</f>
        <v>National Government:</v>
      </c>
      <c r="B8" s="142"/>
      <c r="C8" s="91">
        <f t="shared" ref="C8:I8" si="0">SUM(C9:C14)</f>
        <v>101740000</v>
      </c>
      <c r="D8" s="47">
        <f t="shared" si="0"/>
        <v>113593000</v>
      </c>
      <c r="E8" s="46">
        <f t="shared" si="0"/>
        <v>113593000</v>
      </c>
      <c r="F8" s="46">
        <f t="shared" si="0"/>
        <v>9131350</v>
      </c>
      <c r="G8" s="46">
        <f t="shared" si="0"/>
        <v>113031959.94</v>
      </c>
      <c r="H8" s="46">
        <f t="shared" si="0"/>
        <v>113593000</v>
      </c>
      <c r="I8" s="46">
        <f t="shared" si="0"/>
        <v>-561040.06000000006</v>
      </c>
      <c r="J8" s="291">
        <f t="shared" ref="J8:J39" si="1">IF(I8=0,"",I8/H8)</f>
        <v>-4.9390372646201794E-3</v>
      </c>
      <c r="K8" s="159">
        <f>SUM(K9:K14)</f>
        <v>113593000</v>
      </c>
    </row>
    <row r="9" spans="1:11" x14ac:dyDescent="0.25">
      <c r="A9" s="333" t="str">
        <f>'SC6'!A9</f>
        <v>Local Government Equitable Share</v>
      </c>
      <c r="B9" s="142"/>
      <c r="C9" s="541">
        <v>98097000</v>
      </c>
      <c r="D9" s="542">
        <v>108977000</v>
      </c>
      <c r="E9" s="516">
        <v>108977000</v>
      </c>
      <c r="F9" s="516">
        <v>9081000</v>
      </c>
      <c r="G9" s="516">
        <v>108977000</v>
      </c>
      <c r="H9" s="516">
        <v>108977000</v>
      </c>
      <c r="I9" s="404">
        <f t="shared" ref="I9:I14" si="2">G9-H9</f>
        <v>0</v>
      </c>
      <c r="J9" s="432" t="str">
        <f t="shared" si="1"/>
        <v/>
      </c>
      <c r="K9" s="518">
        <v>108977000</v>
      </c>
    </row>
    <row r="10" spans="1:11" ht="12.75" customHeight="1" x14ac:dyDescent="0.25">
      <c r="A10" s="333" t="str">
        <f>'SC6'!A10</f>
        <v>Local Government Financial Management Grant</v>
      </c>
      <c r="B10" s="142"/>
      <c r="C10" s="526">
        <v>1550000</v>
      </c>
      <c r="D10" s="328">
        <v>1550000</v>
      </c>
      <c r="E10" s="329">
        <v>1550000</v>
      </c>
      <c r="F10" s="329">
        <v>0</v>
      </c>
      <c r="G10" s="329">
        <v>988959.94</v>
      </c>
      <c r="H10" s="329">
        <v>1550000</v>
      </c>
      <c r="I10" s="41">
        <f t="shared" si="2"/>
        <v>-561040.06000000006</v>
      </c>
      <c r="J10" s="101">
        <f t="shared" si="1"/>
        <v>-0.36196132903225808</v>
      </c>
      <c r="K10" s="517">
        <v>1550000</v>
      </c>
    </row>
    <row r="11" spans="1:11" ht="12.75" customHeight="1" x14ac:dyDescent="0.25">
      <c r="A11" s="333" t="str">
        <f>'SC6'!A11</f>
        <v>Municipal Systems Improvement grant</v>
      </c>
      <c r="B11" s="142"/>
      <c r="C11" s="526">
        <v>0</v>
      </c>
      <c r="D11" s="328" t="s">
        <v>1544</v>
      </c>
      <c r="E11" s="329" t="s">
        <v>1544</v>
      </c>
      <c r="F11" s="329">
        <v>0</v>
      </c>
      <c r="G11" s="329">
        <v>0</v>
      </c>
      <c r="H11" s="329">
        <v>0</v>
      </c>
      <c r="I11" s="41">
        <f t="shared" si="2"/>
        <v>0</v>
      </c>
      <c r="J11" s="101" t="str">
        <f t="shared" si="1"/>
        <v/>
      </c>
      <c r="K11" s="517" t="s">
        <v>1544</v>
      </c>
    </row>
    <row r="12" spans="1:11" ht="12.75" customHeight="1" x14ac:dyDescent="0.25">
      <c r="A12" s="333" t="str">
        <f>'SC6'!A12</f>
        <v>Expanded Public Works Programme Integrated grant</v>
      </c>
      <c r="B12" s="142"/>
      <c r="C12" s="526">
        <v>2093000</v>
      </c>
      <c r="D12" s="328">
        <v>3066000</v>
      </c>
      <c r="E12" s="329">
        <v>3066000</v>
      </c>
      <c r="F12" s="329">
        <v>50350</v>
      </c>
      <c r="G12" s="329">
        <v>3066000</v>
      </c>
      <c r="H12" s="329">
        <v>3066000</v>
      </c>
      <c r="I12" s="41">
        <f t="shared" si="2"/>
        <v>0</v>
      </c>
      <c r="J12" s="101" t="str">
        <f t="shared" si="1"/>
        <v/>
      </c>
      <c r="K12" s="517">
        <v>3066000</v>
      </c>
    </row>
    <row r="13" spans="1:11" ht="12.75" customHeight="1" x14ac:dyDescent="0.25">
      <c r="A13" s="333"/>
      <c r="B13" s="142"/>
      <c r="C13" s="526"/>
      <c r="D13" s="328"/>
      <c r="E13" s="329"/>
      <c r="F13" s="329"/>
      <c r="G13" s="329"/>
      <c r="H13" s="329"/>
      <c r="I13" s="41"/>
      <c r="J13" s="101"/>
      <c r="K13" s="517"/>
    </row>
    <row r="14" spans="1:11" ht="12.75" customHeight="1" x14ac:dyDescent="0.25">
      <c r="A14" s="333" t="str">
        <f>'SC6'!A14</f>
        <v>Other transfers and grants [insert description]</v>
      </c>
      <c r="B14" s="142"/>
      <c r="C14" s="526"/>
      <c r="D14" s="328"/>
      <c r="E14" s="329"/>
      <c r="F14" s="329"/>
      <c r="G14" s="329"/>
      <c r="H14" s="329"/>
      <c r="I14" s="41">
        <f t="shared" si="2"/>
        <v>0</v>
      </c>
      <c r="J14" s="101" t="str">
        <f t="shared" si="1"/>
        <v/>
      </c>
      <c r="K14" s="517"/>
    </row>
    <row r="15" spans="1:11" ht="12.75" customHeight="1" x14ac:dyDescent="0.25">
      <c r="A15" s="290" t="str">
        <f>'SC6'!A15</f>
        <v>Provincial Government:</v>
      </c>
      <c r="B15" s="142"/>
      <c r="C15" s="406">
        <f t="shared" ref="C15:I15" si="3">SUM(C16:C27)</f>
        <v>23184249.060000002</v>
      </c>
      <c r="D15" s="380">
        <f t="shared" si="3"/>
        <v>29500000</v>
      </c>
      <c r="E15" s="356">
        <f t="shared" si="3"/>
        <v>18553000</v>
      </c>
      <c r="F15" s="356">
        <f t="shared" si="3"/>
        <v>3786789.8300000005</v>
      </c>
      <c r="G15" s="356">
        <f t="shared" si="3"/>
        <v>15305761.029999999</v>
      </c>
      <c r="H15" s="356">
        <f t="shared" si="3"/>
        <v>19303000</v>
      </c>
      <c r="I15" s="356">
        <f t="shared" si="3"/>
        <v>-3997238.9699999997</v>
      </c>
      <c r="J15" s="433">
        <f t="shared" si="1"/>
        <v>-0.20707863907164689</v>
      </c>
      <c r="K15" s="403">
        <f>SUM(K16:K27)</f>
        <v>29500000</v>
      </c>
    </row>
    <row r="16" spans="1:11" ht="12.75" customHeight="1" x14ac:dyDescent="0.25">
      <c r="A16" s="333" t="s">
        <v>1545</v>
      </c>
      <c r="B16" s="142"/>
      <c r="C16" s="541">
        <v>13986549.1</v>
      </c>
      <c r="D16" s="542">
        <v>19500000</v>
      </c>
      <c r="E16" s="516">
        <v>7574000</v>
      </c>
      <c r="F16" s="516">
        <v>1818981.77</v>
      </c>
      <c r="G16" s="516">
        <v>4976500.5</v>
      </c>
      <c r="H16" s="516">
        <v>7574000</v>
      </c>
      <c r="I16" s="404">
        <f t="shared" ref="I16:I38" si="4">G16-H16</f>
        <v>-2597499.5</v>
      </c>
      <c r="J16" s="432">
        <f t="shared" si="1"/>
        <v>-0.34294949828360177</v>
      </c>
      <c r="K16" s="518">
        <v>19500000</v>
      </c>
    </row>
    <row r="17" spans="1:11" ht="12.75" customHeight="1" x14ac:dyDescent="0.25">
      <c r="A17" s="333" t="s">
        <v>1546</v>
      </c>
      <c r="B17" s="142"/>
      <c r="C17" s="526">
        <v>149000</v>
      </c>
      <c r="D17" s="328">
        <v>150000</v>
      </c>
      <c r="E17" s="329">
        <v>150000</v>
      </c>
      <c r="F17" s="329">
        <v>0</v>
      </c>
      <c r="G17" s="329">
        <v>150000</v>
      </c>
      <c r="H17" s="329">
        <v>150000</v>
      </c>
      <c r="I17" s="41">
        <f t="shared" si="4"/>
        <v>0</v>
      </c>
      <c r="J17" s="101" t="str">
        <f t="shared" si="1"/>
        <v/>
      </c>
      <c r="K17" s="517">
        <v>150000</v>
      </c>
    </row>
    <row r="18" spans="1:11" ht="12.75" customHeight="1" x14ac:dyDescent="0.25">
      <c r="A18" s="333" t="s">
        <v>1547</v>
      </c>
      <c r="B18" s="142"/>
      <c r="C18" s="526">
        <v>8427000</v>
      </c>
      <c r="D18" s="328">
        <v>9017000</v>
      </c>
      <c r="E18" s="329">
        <v>9017000</v>
      </c>
      <c r="F18" s="329">
        <v>1170808.0900000001</v>
      </c>
      <c r="G18" s="329">
        <v>9017000</v>
      </c>
      <c r="H18" s="329">
        <v>9017000</v>
      </c>
      <c r="I18" s="41">
        <f t="shared" si="4"/>
        <v>0</v>
      </c>
      <c r="J18" s="101" t="str">
        <f t="shared" si="1"/>
        <v/>
      </c>
      <c r="K18" s="517">
        <v>9017000</v>
      </c>
    </row>
    <row r="19" spans="1:11" ht="15" customHeight="1" x14ac:dyDescent="0.25">
      <c r="A19" s="333" t="s">
        <v>1548</v>
      </c>
      <c r="B19" s="142"/>
      <c r="C19" s="526">
        <v>93000</v>
      </c>
      <c r="D19" s="328">
        <v>93000</v>
      </c>
      <c r="E19" s="329">
        <v>0</v>
      </c>
      <c r="F19" s="329">
        <v>0</v>
      </c>
      <c r="G19" s="329">
        <v>0</v>
      </c>
      <c r="H19" s="329">
        <v>0</v>
      </c>
      <c r="I19" s="41">
        <f t="shared" si="4"/>
        <v>0</v>
      </c>
      <c r="J19" s="101" t="str">
        <f t="shared" si="1"/>
        <v/>
      </c>
      <c r="K19" s="517">
        <v>93000</v>
      </c>
    </row>
    <row r="20" spans="1:11" ht="15" customHeight="1" x14ac:dyDescent="0.25">
      <c r="A20" s="333" t="s">
        <v>1549</v>
      </c>
      <c r="B20" s="142"/>
      <c r="C20" s="526"/>
      <c r="D20" s="328">
        <v>0</v>
      </c>
      <c r="E20" s="329">
        <v>0</v>
      </c>
      <c r="F20" s="329">
        <v>0</v>
      </c>
      <c r="G20" s="329">
        <v>0</v>
      </c>
      <c r="H20" s="329">
        <v>0</v>
      </c>
      <c r="I20" s="41">
        <f t="shared" si="4"/>
        <v>0</v>
      </c>
      <c r="J20" s="101" t="str">
        <f t="shared" si="1"/>
        <v/>
      </c>
      <c r="K20" s="517">
        <v>0</v>
      </c>
    </row>
    <row r="21" spans="1:11" ht="15" customHeight="1" x14ac:dyDescent="0.25">
      <c r="A21" s="333" t="s">
        <v>1550</v>
      </c>
      <c r="B21" s="142"/>
      <c r="C21" s="526"/>
      <c r="D21" s="328">
        <v>100000</v>
      </c>
      <c r="E21" s="329">
        <v>100000</v>
      </c>
      <c r="F21" s="329">
        <v>0</v>
      </c>
      <c r="G21" s="329">
        <v>100000</v>
      </c>
      <c r="H21" s="329">
        <v>100000</v>
      </c>
      <c r="I21" s="41">
        <f t="shared" si="4"/>
        <v>0</v>
      </c>
      <c r="J21" s="101" t="str">
        <f t="shared" si="1"/>
        <v/>
      </c>
      <c r="K21" s="517">
        <v>100000</v>
      </c>
    </row>
    <row r="22" spans="1:11" ht="15" customHeight="1" x14ac:dyDescent="0.25">
      <c r="A22" s="333" t="s">
        <v>1551</v>
      </c>
      <c r="B22" s="142"/>
      <c r="C22" s="526">
        <v>0</v>
      </c>
      <c r="D22" s="328">
        <v>360000</v>
      </c>
      <c r="E22" s="329">
        <v>360000</v>
      </c>
      <c r="F22" s="329">
        <v>750000</v>
      </c>
      <c r="G22" s="329">
        <v>750000</v>
      </c>
      <c r="H22" s="329">
        <v>1110000</v>
      </c>
      <c r="I22" s="41">
        <f t="shared" si="4"/>
        <v>-360000</v>
      </c>
      <c r="J22" s="101">
        <f t="shared" si="1"/>
        <v>-0.32432432432432434</v>
      </c>
      <c r="K22" s="517">
        <v>360000</v>
      </c>
    </row>
    <row r="23" spans="1:11" ht="15" customHeight="1" x14ac:dyDescent="0.25">
      <c r="A23" s="333" t="s">
        <v>1552</v>
      </c>
      <c r="B23" s="142"/>
      <c r="C23" s="526">
        <v>100000</v>
      </c>
      <c r="D23" s="328">
        <v>0</v>
      </c>
      <c r="E23" s="329">
        <v>0</v>
      </c>
      <c r="F23" s="329">
        <v>0</v>
      </c>
      <c r="G23" s="329">
        <v>0</v>
      </c>
      <c r="H23" s="329">
        <v>0</v>
      </c>
      <c r="I23" s="41">
        <f t="shared" si="4"/>
        <v>0</v>
      </c>
      <c r="J23" s="101" t="str">
        <f t="shared" si="1"/>
        <v/>
      </c>
      <c r="K23" s="517">
        <v>0</v>
      </c>
    </row>
    <row r="24" spans="1:11" ht="15" customHeight="1" x14ac:dyDescent="0.25">
      <c r="A24" s="333" t="s">
        <v>1553</v>
      </c>
      <c r="B24" s="142"/>
      <c r="C24" s="526">
        <v>329500</v>
      </c>
      <c r="D24" s="328">
        <v>280000</v>
      </c>
      <c r="E24" s="329">
        <v>1280000</v>
      </c>
      <c r="F24" s="329">
        <v>0</v>
      </c>
      <c r="G24" s="329">
        <v>240260.53</v>
      </c>
      <c r="H24" s="329">
        <v>1280000</v>
      </c>
      <c r="I24" s="41">
        <f t="shared" si="4"/>
        <v>-1039739.47</v>
      </c>
      <c r="J24" s="101">
        <f t="shared" si="1"/>
        <v>-0.81229646093749996</v>
      </c>
      <c r="K24" s="517">
        <v>280000</v>
      </c>
    </row>
    <row r="25" spans="1:11" ht="15" customHeight="1" x14ac:dyDescent="0.25">
      <c r="A25" s="333" t="s">
        <v>1554</v>
      </c>
      <c r="B25" s="142"/>
      <c r="C25" s="526"/>
      <c r="D25" s="328">
        <v>0</v>
      </c>
      <c r="E25" s="329">
        <v>0</v>
      </c>
      <c r="F25" s="329">
        <v>0</v>
      </c>
      <c r="G25" s="329">
        <v>0</v>
      </c>
      <c r="H25" s="329">
        <v>0</v>
      </c>
      <c r="I25" s="41">
        <f t="shared" si="4"/>
        <v>0</v>
      </c>
      <c r="J25" s="101" t="str">
        <f t="shared" si="1"/>
        <v/>
      </c>
      <c r="K25" s="517">
        <v>0</v>
      </c>
    </row>
    <row r="26" spans="1:11" ht="15" customHeight="1" x14ac:dyDescent="0.25">
      <c r="A26" s="333" t="s">
        <v>1555</v>
      </c>
      <c r="B26" s="142"/>
      <c r="C26" s="526">
        <v>99199.96</v>
      </c>
      <c r="D26" s="328">
        <v>0</v>
      </c>
      <c r="E26" s="329">
        <v>72000</v>
      </c>
      <c r="F26" s="329">
        <v>46999.97</v>
      </c>
      <c r="G26" s="329">
        <v>72000.000000000015</v>
      </c>
      <c r="H26" s="329">
        <v>72000</v>
      </c>
      <c r="I26" s="41">
        <f t="shared" si="4"/>
        <v>0</v>
      </c>
      <c r="J26" s="101" t="str">
        <f t="shared" si="1"/>
        <v/>
      </c>
      <c r="K26" s="517">
        <v>0</v>
      </c>
    </row>
    <row r="27" spans="1:11" ht="15" customHeight="1" x14ac:dyDescent="0.25">
      <c r="A27" s="333" t="s">
        <v>543</v>
      </c>
      <c r="B27" s="142"/>
      <c r="C27" s="526"/>
      <c r="D27" s="328"/>
      <c r="E27" s="329"/>
      <c r="F27" s="329"/>
      <c r="G27" s="329"/>
      <c r="H27" s="329"/>
      <c r="I27" s="41"/>
      <c r="J27" s="101"/>
      <c r="K27" s="517"/>
    </row>
    <row r="28" spans="1:11" ht="12.75" customHeight="1" x14ac:dyDescent="0.25">
      <c r="A28" s="290" t="str">
        <f>'SC6'!A28</f>
        <v>District Municipality:</v>
      </c>
      <c r="B28" s="142"/>
      <c r="C28" s="406">
        <f t="shared" ref="C28:H28" si="5">SUM(C29:C30)</f>
        <v>668453.62</v>
      </c>
      <c r="D28" s="380">
        <f t="shared" si="5"/>
        <v>0</v>
      </c>
      <c r="E28" s="356">
        <f>SUM(E29:E30)</f>
        <v>500000</v>
      </c>
      <c r="F28" s="356">
        <f t="shared" si="5"/>
        <v>0</v>
      </c>
      <c r="G28" s="356">
        <f t="shared" si="5"/>
        <v>500000</v>
      </c>
      <c r="H28" s="356">
        <f t="shared" si="5"/>
        <v>500000</v>
      </c>
      <c r="I28" s="404">
        <f t="shared" si="4"/>
        <v>0</v>
      </c>
      <c r="J28" s="432" t="str">
        <f t="shared" si="1"/>
        <v/>
      </c>
      <c r="K28" s="403">
        <f>SUM(K29:K30)</f>
        <v>0</v>
      </c>
    </row>
    <row r="29" spans="1:11" ht="12.75" customHeight="1" x14ac:dyDescent="0.25">
      <c r="A29" s="334" t="str">
        <f>'SC6'!A29</f>
        <v>CWDM Projects</v>
      </c>
      <c r="B29" s="142"/>
      <c r="C29" s="545">
        <v>668453.62</v>
      </c>
      <c r="D29" s="546">
        <v>0</v>
      </c>
      <c r="E29" s="519">
        <v>500000</v>
      </c>
      <c r="F29" s="519">
        <v>0</v>
      </c>
      <c r="G29" s="519">
        <v>500000</v>
      </c>
      <c r="H29" s="519">
        <v>500000</v>
      </c>
      <c r="I29" s="404">
        <f t="shared" si="4"/>
        <v>0</v>
      </c>
      <c r="J29" s="432" t="str">
        <f t="shared" si="1"/>
        <v/>
      </c>
      <c r="K29" s="520"/>
    </row>
    <row r="30" spans="1:11" ht="12.75" customHeight="1" x14ac:dyDescent="0.25">
      <c r="A30" s="39"/>
      <c r="B30" s="142"/>
      <c r="C30" s="526"/>
      <c r="D30" s="328"/>
      <c r="E30" s="329"/>
      <c r="F30" s="329"/>
      <c r="G30" s="329"/>
      <c r="H30" s="329"/>
      <c r="I30" s="41">
        <f t="shared" si="4"/>
        <v>0</v>
      </c>
      <c r="J30" s="101" t="str">
        <f t="shared" si="1"/>
        <v/>
      </c>
      <c r="K30" s="517"/>
    </row>
    <row r="31" spans="1:11" ht="12.75" customHeight="1" x14ac:dyDescent="0.25">
      <c r="A31" s="290" t="str">
        <f>'SC6'!A31</f>
        <v>Other grant providers:</v>
      </c>
      <c r="B31" s="142"/>
      <c r="C31" s="406">
        <f t="shared" ref="C31:H31" si="6">SUM(C32:C38)</f>
        <v>3178050.37</v>
      </c>
      <c r="D31" s="380">
        <f t="shared" si="6"/>
        <v>3362247</v>
      </c>
      <c r="E31" s="356">
        <f t="shared" si="6"/>
        <v>3482247</v>
      </c>
      <c r="F31" s="356">
        <f t="shared" si="6"/>
        <v>48213.21</v>
      </c>
      <c r="G31" s="356">
        <f t="shared" si="6"/>
        <v>1175044.45</v>
      </c>
      <c r="H31" s="356">
        <f t="shared" si="6"/>
        <v>3482247</v>
      </c>
      <c r="I31" s="404">
        <f t="shared" si="4"/>
        <v>-2307202.5499999998</v>
      </c>
      <c r="J31" s="432">
        <f t="shared" si="1"/>
        <v>-0.66256142944483831</v>
      </c>
      <c r="K31" s="403">
        <f>SUM(K32:K38)</f>
        <v>3362247</v>
      </c>
    </row>
    <row r="32" spans="1:11" ht="12.75" customHeight="1" x14ac:dyDescent="0.25">
      <c r="A32" s="290" t="s">
        <v>1557</v>
      </c>
      <c r="B32" s="142"/>
      <c r="C32" s="545">
        <v>0</v>
      </c>
      <c r="D32" s="546">
        <v>500000</v>
      </c>
      <c r="E32" s="519">
        <v>500000</v>
      </c>
      <c r="F32" s="519">
        <v>0</v>
      </c>
      <c r="G32" s="519">
        <v>0</v>
      </c>
      <c r="H32" s="519">
        <v>500000</v>
      </c>
      <c r="I32" s="404">
        <f t="shared" si="4"/>
        <v>-500000</v>
      </c>
      <c r="J32" s="432">
        <f t="shared" si="1"/>
        <v>-1</v>
      </c>
      <c r="K32" s="520">
        <v>500000</v>
      </c>
    </row>
    <row r="33" spans="1:11" ht="12.75" customHeight="1" x14ac:dyDescent="0.25">
      <c r="A33" s="290" t="s">
        <v>1558</v>
      </c>
      <c r="B33" s="142"/>
      <c r="C33" s="548">
        <v>284587.7</v>
      </c>
      <c r="D33" s="549">
        <v>600000</v>
      </c>
      <c r="E33" s="550">
        <v>600000</v>
      </c>
      <c r="F33" s="550">
        <v>0</v>
      </c>
      <c r="G33" s="550">
        <v>0</v>
      </c>
      <c r="H33" s="550">
        <v>600000</v>
      </c>
      <c r="I33" s="404">
        <f t="shared" si="4"/>
        <v>-600000</v>
      </c>
      <c r="J33" s="432">
        <f t="shared" si="1"/>
        <v>-1</v>
      </c>
      <c r="K33" s="551">
        <v>600000</v>
      </c>
    </row>
    <row r="34" spans="1:11" ht="12.75" customHeight="1" x14ac:dyDescent="0.25">
      <c r="A34" s="290" t="s">
        <v>1559</v>
      </c>
      <c r="B34" s="142"/>
      <c r="C34" s="548">
        <v>2723462.67</v>
      </c>
      <c r="D34" s="549">
        <v>2262247</v>
      </c>
      <c r="E34" s="550">
        <v>2262247</v>
      </c>
      <c r="F34" s="550">
        <v>48213.21</v>
      </c>
      <c r="G34" s="550">
        <v>1175044.45</v>
      </c>
      <c r="H34" s="550">
        <v>2262247</v>
      </c>
      <c r="I34" s="404">
        <f t="shared" si="4"/>
        <v>-1087202.55</v>
      </c>
      <c r="J34" s="432">
        <f t="shared" si="1"/>
        <v>-0.48058525439529814</v>
      </c>
      <c r="K34" s="551">
        <v>2262247</v>
      </c>
    </row>
    <row r="35" spans="1:11" ht="12.75" customHeight="1" x14ac:dyDescent="0.25">
      <c r="A35" s="290" t="s">
        <v>1560</v>
      </c>
      <c r="B35" s="142"/>
      <c r="C35" s="548">
        <v>50000</v>
      </c>
      <c r="D35" s="549"/>
      <c r="E35" s="550"/>
      <c r="F35" s="550">
        <v>0</v>
      </c>
      <c r="G35" s="550">
        <v>0</v>
      </c>
      <c r="H35" s="550">
        <v>0</v>
      </c>
      <c r="I35" s="404">
        <f t="shared" si="4"/>
        <v>0</v>
      </c>
      <c r="J35" s="432" t="str">
        <f t="shared" si="1"/>
        <v/>
      </c>
      <c r="K35" s="551"/>
    </row>
    <row r="36" spans="1:11" ht="12.75" customHeight="1" x14ac:dyDescent="0.25">
      <c r="A36" s="290" t="s">
        <v>1564</v>
      </c>
      <c r="B36" s="142"/>
      <c r="C36" s="548">
        <v>120000</v>
      </c>
      <c r="D36" s="549"/>
      <c r="E36" s="550">
        <v>120000</v>
      </c>
      <c r="F36" s="550"/>
      <c r="G36" s="550"/>
      <c r="H36" s="550">
        <v>120000</v>
      </c>
      <c r="I36" s="404">
        <f t="shared" si="4"/>
        <v>-120000</v>
      </c>
      <c r="J36" s="432">
        <f t="shared" si="1"/>
        <v>-1</v>
      </c>
      <c r="K36" s="551"/>
    </row>
    <row r="37" spans="1:11" ht="12.75" customHeight="1" x14ac:dyDescent="0.25">
      <c r="A37" s="290"/>
      <c r="B37" s="142"/>
      <c r="C37" s="548"/>
      <c r="D37" s="549"/>
      <c r="E37" s="550"/>
      <c r="F37" s="550"/>
      <c r="G37" s="550"/>
      <c r="H37" s="550"/>
      <c r="I37" s="404">
        <f t="shared" si="4"/>
        <v>0</v>
      </c>
      <c r="J37" s="432" t="str">
        <f t="shared" si="1"/>
        <v/>
      </c>
      <c r="K37" s="551"/>
    </row>
    <row r="38" spans="1:11" ht="12.75" customHeight="1" x14ac:dyDescent="0.25">
      <c r="A38" s="334" t="str">
        <f>'SC6'!A32</f>
        <v>Learnership SETA</v>
      </c>
      <c r="B38" s="142"/>
      <c r="C38" s="526"/>
      <c r="D38" s="328"/>
      <c r="E38" s="329"/>
      <c r="F38" s="329"/>
      <c r="G38" s="329"/>
      <c r="H38" s="329"/>
      <c r="I38" s="41">
        <f t="shared" si="4"/>
        <v>0</v>
      </c>
      <c r="J38" s="101" t="str">
        <f t="shared" si="1"/>
        <v/>
      </c>
      <c r="K38" s="517"/>
    </row>
    <row r="39" spans="1:11" ht="12.75" customHeight="1" x14ac:dyDescent="0.25">
      <c r="A39" s="438" t="s">
        <v>57</v>
      </c>
      <c r="B39" s="196"/>
      <c r="C39" s="206">
        <f t="shared" ref="C39:I39" si="7">C8+C15+C28+C31</f>
        <v>128770753.05000001</v>
      </c>
      <c r="D39" s="66">
        <f t="shared" si="7"/>
        <v>146455247</v>
      </c>
      <c r="E39" s="65">
        <f t="shared" si="7"/>
        <v>136128247</v>
      </c>
      <c r="F39" s="65">
        <f t="shared" si="7"/>
        <v>12966353.040000001</v>
      </c>
      <c r="G39" s="65">
        <f t="shared" si="7"/>
        <v>130012765.42</v>
      </c>
      <c r="H39" s="65">
        <f t="shared" si="7"/>
        <v>136878247</v>
      </c>
      <c r="I39" s="65">
        <f t="shared" si="7"/>
        <v>-6865481.5799999991</v>
      </c>
      <c r="J39" s="259">
        <f t="shared" si="1"/>
        <v>-5.0157579677361001E-2</v>
      </c>
      <c r="K39" s="120">
        <f>K8+K15+K28+K31</f>
        <v>146455247</v>
      </c>
    </row>
    <row r="40" spans="1:11" ht="5.0999999999999996" customHeight="1" x14ac:dyDescent="0.25">
      <c r="A40" s="39"/>
      <c r="B40" s="142"/>
      <c r="C40" s="111"/>
      <c r="D40" s="43"/>
      <c r="E40" s="41"/>
      <c r="F40" s="41"/>
      <c r="G40" s="41"/>
      <c r="H40" s="41"/>
      <c r="I40" s="41"/>
      <c r="J40" s="101"/>
      <c r="K40" s="119"/>
    </row>
    <row r="41" spans="1:11" ht="12.75" customHeight="1" x14ac:dyDescent="0.25">
      <c r="A41" s="32" t="s">
        <v>58</v>
      </c>
      <c r="B41" s="142"/>
      <c r="C41" s="111"/>
      <c r="D41" s="43"/>
      <c r="E41" s="41"/>
      <c r="F41" s="41"/>
      <c r="G41" s="41"/>
      <c r="H41" s="41"/>
      <c r="I41" s="41"/>
      <c r="J41" s="101"/>
      <c r="K41" s="119"/>
    </row>
    <row r="42" spans="1:11" ht="13.5" customHeight="1" x14ac:dyDescent="0.25">
      <c r="A42" s="290" t="str">
        <f>'SC6'!A42</f>
        <v>National Government:</v>
      </c>
      <c r="B42" s="142"/>
      <c r="C42" s="111">
        <f t="shared" ref="C42:I42" si="8">SUM(C43:C46)</f>
        <v>41783279.789999999</v>
      </c>
      <c r="D42" s="43">
        <f t="shared" si="8"/>
        <v>38810000</v>
      </c>
      <c r="E42" s="41">
        <f>SUM(E43:E46)</f>
        <v>38810000</v>
      </c>
      <c r="F42" s="41">
        <f t="shared" si="8"/>
        <v>12445821.67</v>
      </c>
      <c r="G42" s="41">
        <f t="shared" si="8"/>
        <v>38810000</v>
      </c>
      <c r="H42" s="41">
        <f t="shared" si="8"/>
        <v>38810000</v>
      </c>
      <c r="I42" s="41">
        <f t="shared" si="8"/>
        <v>0</v>
      </c>
      <c r="J42" s="291" t="str">
        <f t="shared" ref="J42:J59" si="9">IF(I42=0,"",I42/H42)</f>
        <v/>
      </c>
      <c r="K42" s="119">
        <f>SUM(K43:K46)</f>
        <v>38810000</v>
      </c>
    </row>
    <row r="43" spans="1:11" ht="12.75" customHeight="1" x14ac:dyDescent="0.25">
      <c r="A43" s="333" t="s">
        <v>1561</v>
      </c>
      <c r="B43" s="142"/>
      <c r="C43" s="541">
        <v>33783962.289999999</v>
      </c>
      <c r="D43" s="542">
        <v>33810000</v>
      </c>
      <c r="E43" s="516">
        <v>33810000</v>
      </c>
      <c r="F43" s="516">
        <v>7445821.6699999999</v>
      </c>
      <c r="G43" s="516">
        <v>33810000</v>
      </c>
      <c r="H43" s="516">
        <v>33810000</v>
      </c>
      <c r="I43" s="404">
        <f>G43-H43</f>
        <v>0</v>
      </c>
      <c r="J43" s="432" t="str">
        <f t="shared" si="9"/>
        <v/>
      </c>
      <c r="K43" s="518">
        <v>33810000</v>
      </c>
    </row>
    <row r="44" spans="1:11" ht="12.75" customHeight="1" x14ac:dyDescent="0.25">
      <c r="A44" s="333" t="s">
        <v>1562</v>
      </c>
      <c r="B44" s="142"/>
      <c r="C44" s="526">
        <v>7999317.5</v>
      </c>
      <c r="D44" s="328">
        <v>5000000</v>
      </c>
      <c r="E44" s="329">
        <v>5000000</v>
      </c>
      <c r="F44" s="329">
        <v>5000000</v>
      </c>
      <c r="G44" s="329">
        <v>5000000</v>
      </c>
      <c r="H44" s="329">
        <v>5000000</v>
      </c>
      <c r="I44" s="41">
        <f>G44-H44</f>
        <v>0</v>
      </c>
      <c r="J44" s="101" t="str">
        <f t="shared" si="9"/>
        <v/>
      </c>
      <c r="K44" s="517">
        <v>5000000</v>
      </c>
    </row>
    <row r="45" spans="1:11" ht="12.75" customHeight="1" x14ac:dyDescent="0.25">
      <c r="A45" s="333"/>
      <c r="B45" s="142"/>
      <c r="C45" s="526"/>
      <c r="D45" s="328"/>
      <c r="E45" s="329"/>
      <c r="F45" s="329"/>
      <c r="G45" s="329"/>
      <c r="H45" s="329"/>
      <c r="I45" s="41">
        <f>G45-H45</f>
        <v>0</v>
      </c>
      <c r="J45" s="101" t="str">
        <f t="shared" si="9"/>
        <v/>
      </c>
      <c r="K45" s="517"/>
    </row>
    <row r="46" spans="1:11" ht="12.75" customHeight="1" x14ac:dyDescent="0.25">
      <c r="A46" s="333"/>
      <c r="B46" s="142"/>
      <c r="C46" s="526"/>
      <c r="D46" s="328"/>
      <c r="E46" s="329"/>
      <c r="F46" s="329"/>
      <c r="G46" s="329"/>
      <c r="H46" s="329"/>
      <c r="I46" s="41">
        <f>G46-H46</f>
        <v>0</v>
      </c>
      <c r="J46" s="101" t="str">
        <f t="shared" si="9"/>
        <v/>
      </c>
      <c r="K46" s="517"/>
    </row>
    <row r="47" spans="1:11" ht="12.75" customHeight="1" x14ac:dyDescent="0.25">
      <c r="A47" s="290" t="str">
        <f>'SC6'!A47</f>
        <v>Provincial Government:</v>
      </c>
      <c r="B47" s="142"/>
      <c r="C47" s="406">
        <f t="shared" ref="C47:H47" si="10">SUM(C48:C53)</f>
        <v>31576329.189999998</v>
      </c>
      <c r="D47" s="380">
        <f t="shared" si="10"/>
        <v>102280000</v>
      </c>
      <c r="E47" s="356">
        <f t="shared" si="10"/>
        <v>103030000</v>
      </c>
      <c r="F47" s="356">
        <f t="shared" si="10"/>
        <v>-12885502.130000001</v>
      </c>
      <c r="G47" s="356">
        <f t="shared" si="10"/>
        <v>85469493.420000002</v>
      </c>
      <c r="H47" s="356">
        <f t="shared" si="10"/>
        <v>102280000</v>
      </c>
      <c r="I47" s="404">
        <f t="shared" ref="I47:I59" si="11">G47-H47</f>
        <v>-16810506.579999998</v>
      </c>
      <c r="J47" s="432">
        <f t="shared" si="9"/>
        <v>-0.16435771001173249</v>
      </c>
      <c r="K47" s="403">
        <f>SUM(K48:K53)</f>
        <v>102280000</v>
      </c>
    </row>
    <row r="48" spans="1:11" ht="12.75" customHeight="1" x14ac:dyDescent="0.25">
      <c r="A48" s="290" t="s">
        <v>1545</v>
      </c>
      <c r="B48" s="142"/>
      <c r="C48" s="545">
        <v>27537325.350000001</v>
      </c>
      <c r="D48" s="546">
        <v>98580000</v>
      </c>
      <c r="E48" s="519">
        <v>98580000</v>
      </c>
      <c r="F48" s="519">
        <v>-12051047</v>
      </c>
      <c r="G48" s="519">
        <v>84267212.430000007</v>
      </c>
      <c r="H48" s="519">
        <v>98580000</v>
      </c>
      <c r="I48" s="404">
        <f t="shared" si="11"/>
        <v>-14312787.569999993</v>
      </c>
      <c r="J48" s="432">
        <f t="shared" si="9"/>
        <v>-0.14518956755934259</v>
      </c>
      <c r="K48" s="520">
        <v>98580000</v>
      </c>
    </row>
    <row r="49" spans="1:11" ht="12.75" customHeight="1" x14ac:dyDescent="0.25">
      <c r="A49" s="290" t="s">
        <v>1549</v>
      </c>
      <c r="B49" s="142"/>
      <c r="C49" s="548">
        <v>3274485.26</v>
      </c>
      <c r="D49" s="549">
        <v>3200000</v>
      </c>
      <c r="E49" s="550">
        <v>3200000</v>
      </c>
      <c r="F49" s="550">
        <v>-834455.13</v>
      </c>
      <c r="G49" s="550">
        <v>702280.99000000011</v>
      </c>
      <c r="H49" s="550">
        <v>3200000</v>
      </c>
      <c r="I49" s="41"/>
      <c r="J49" s="101"/>
      <c r="K49" s="551">
        <v>3200000</v>
      </c>
    </row>
    <row r="50" spans="1:11" ht="12.75" customHeight="1" x14ac:dyDescent="0.25">
      <c r="A50" s="290" t="s">
        <v>1551</v>
      </c>
      <c r="B50" s="142"/>
      <c r="C50" s="548"/>
      <c r="D50" s="549">
        <v>0</v>
      </c>
      <c r="E50" s="550">
        <v>750000</v>
      </c>
      <c r="F50" s="550">
        <v>0</v>
      </c>
      <c r="G50" s="550">
        <v>0</v>
      </c>
      <c r="H50" s="550">
        <v>0</v>
      </c>
      <c r="I50" s="41"/>
      <c r="J50" s="101"/>
      <c r="K50" s="551">
        <v>0</v>
      </c>
    </row>
    <row r="51" spans="1:11" ht="12.75" customHeight="1" x14ac:dyDescent="0.25">
      <c r="A51" s="290" t="s">
        <v>1547</v>
      </c>
      <c r="B51" s="142"/>
      <c r="C51" s="548">
        <v>764518.58</v>
      </c>
      <c r="D51" s="549">
        <v>500000</v>
      </c>
      <c r="E51" s="550">
        <v>500000</v>
      </c>
      <c r="F51" s="550">
        <v>0</v>
      </c>
      <c r="G51" s="550">
        <v>500000</v>
      </c>
      <c r="H51" s="550">
        <v>500000</v>
      </c>
      <c r="I51" s="41"/>
      <c r="J51" s="101"/>
      <c r="K51" s="551">
        <v>500000</v>
      </c>
    </row>
    <row r="52" spans="1:11" ht="12.75" customHeight="1" x14ac:dyDescent="0.25">
      <c r="A52" s="290"/>
      <c r="B52" s="142"/>
      <c r="C52" s="548"/>
      <c r="D52" s="549"/>
      <c r="E52" s="550"/>
      <c r="F52" s="550"/>
      <c r="G52" s="550"/>
      <c r="H52" s="550">
        <v>0</v>
      </c>
      <c r="I52" s="41"/>
      <c r="J52" s="101"/>
      <c r="K52" s="551"/>
    </row>
    <row r="53" spans="1:11" ht="12.75" hidden="1" customHeight="1" x14ac:dyDescent="0.25">
      <c r="A53" s="333">
        <f>'SC6'!A53</f>
        <v>0</v>
      </c>
      <c r="B53" s="142"/>
      <c r="C53" s="526"/>
      <c r="D53" s="328"/>
      <c r="E53" s="329"/>
      <c r="F53" s="329"/>
      <c r="G53" s="329"/>
      <c r="H53" s="329"/>
      <c r="I53" s="41">
        <f t="shared" si="11"/>
        <v>0</v>
      </c>
      <c r="J53" s="101" t="str">
        <f t="shared" si="9"/>
        <v/>
      </c>
      <c r="K53" s="517"/>
    </row>
    <row r="54" spans="1:11" ht="12.75" customHeight="1" x14ac:dyDescent="0.25">
      <c r="A54" s="290" t="str">
        <f>'SC6'!A54</f>
        <v>District Municipality:</v>
      </c>
      <c r="B54" s="142"/>
      <c r="C54" s="406">
        <f t="shared" ref="C54:H54" si="12">SUM(C55:C56)</f>
        <v>0</v>
      </c>
      <c r="D54" s="380">
        <f t="shared" si="12"/>
        <v>0</v>
      </c>
      <c r="E54" s="356">
        <f t="shared" si="12"/>
        <v>500000</v>
      </c>
      <c r="F54" s="356">
        <f t="shared" si="12"/>
        <v>0</v>
      </c>
      <c r="G54" s="356">
        <f t="shared" si="12"/>
        <v>0</v>
      </c>
      <c r="H54" s="356">
        <f t="shared" si="12"/>
        <v>500000</v>
      </c>
      <c r="I54" s="404">
        <f t="shared" si="11"/>
        <v>-500000</v>
      </c>
      <c r="J54" s="432">
        <f t="shared" si="9"/>
        <v>-1</v>
      </c>
      <c r="K54" s="403">
        <f>SUM(K55:K56)</f>
        <v>0</v>
      </c>
    </row>
    <row r="55" spans="1:11" ht="12.75" customHeight="1" x14ac:dyDescent="0.25">
      <c r="A55" s="334" t="str">
        <f>'SC6'!A55</f>
        <v>CWDM Projects</v>
      </c>
      <c r="B55" s="142"/>
      <c r="C55" s="545"/>
      <c r="D55" s="546"/>
      <c r="E55" s="519">
        <v>500000</v>
      </c>
      <c r="F55" s="519"/>
      <c r="G55" s="519"/>
      <c r="H55" s="519">
        <v>500000</v>
      </c>
      <c r="I55" s="404">
        <f t="shared" si="11"/>
        <v>-500000</v>
      </c>
      <c r="J55" s="432">
        <f t="shared" si="9"/>
        <v>-1</v>
      </c>
      <c r="K55" s="520"/>
    </row>
    <row r="56" spans="1:11" ht="12.75" customHeight="1" x14ac:dyDescent="0.25">
      <c r="A56" s="334">
        <f>'SC6'!A56</f>
        <v>0</v>
      </c>
      <c r="B56" s="142"/>
      <c r="C56" s="526"/>
      <c r="D56" s="328"/>
      <c r="E56" s="329"/>
      <c r="F56" s="329"/>
      <c r="G56" s="329"/>
      <c r="H56" s="329"/>
      <c r="I56" s="41">
        <f t="shared" si="11"/>
        <v>0</v>
      </c>
      <c r="J56" s="101" t="str">
        <f t="shared" si="9"/>
        <v/>
      </c>
      <c r="K56" s="517"/>
    </row>
    <row r="57" spans="1:11" ht="12.75" customHeight="1" x14ac:dyDescent="0.25">
      <c r="A57" s="290" t="str">
        <f>'SC6'!A57</f>
        <v>Other grant providers:</v>
      </c>
      <c r="B57" s="142"/>
      <c r="C57" s="406">
        <f t="shared" ref="C57:H57" si="13">SUM(C58:C59)</f>
        <v>0</v>
      </c>
      <c r="D57" s="380">
        <f t="shared" si="13"/>
        <v>0</v>
      </c>
      <c r="E57" s="356">
        <f t="shared" si="13"/>
        <v>0</v>
      </c>
      <c r="F57" s="356">
        <f t="shared" si="13"/>
        <v>0</v>
      </c>
      <c r="G57" s="356">
        <f t="shared" si="13"/>
        <v>0</v>
      </c>
      <c r="H57" s="356">
        <f t="shared" si="13"/>
        <v>0</v>
      </c>
      <c r="I57" s="404">
        <f t="shared" si="11"/>
        <v>0</v>
      </c>
      <c r="J57" s="432" t="str">
        <f t="shared" si="9"/>
        <v/>
      </c>
      <c r="K57" s="403">
        <f>SUM(K58:K59)</f>
        <v>0</v>
      </c>
    </row>
    <row r="58" spans="1:11" ht="12.75" customHeight="1" x14ac:dyDescent="0.25">
      <c r="A58" s="290"/>
      <c r="B58" s="142"/>
      <c r="C58" s="545"/>
      <c r="D58" s="546"/>
      <c r="E58" s="519"/>
      <c r="F58" s="519"/>
      <c r="G58" s="519"/>
      <c r="H58" s="519"/>
      <c r="I58" s="404">
        <f t="shared" si="11"/>
        <v>0</v>
      </c>
      <c r="J58" s="432" t="str">
        <f t="shared" si="9"/>
        <v/>
      </c>
      <c r="K58" s="520"/>
    </row>
    <row r="59" spans="1:11" ht="12.75" customHeight="1" x14ac:dyDescent="0.25">
      <c r="A59" s="334">
        <f>'SC6'!A63</f>
        <v>0</v>
      </c>
      <c r="B59" s="142"/>
      <c r="C59" s="526"/>
      <c r="D59" s="328"/>
      <c r="E59" s="329"/>
      <c r="F59" s="329"/>
      <c r="G59" s="329"/>
      <c r="H59" s="329"/>
      <c r="I59" s="41">
        <f t="shared" si="11"/>
        <v>0</v>
      </c>
      <c r="J59" s="101" t="str">
        <f t="shared" si="9"/>
        <v/>
      </c>
      <c r="K59" s="517"/>
    </row>
    <row r="60" spans="1:11" ht="12.75" customHeight="1" x14ac:dyDescent="0.25">
      <c r="A60" s="437" t="s">
        <v>59</v>
      </c>
      <c r="B60" s="196"/>
      <c r="C60" s="206">
        <f t="shared" ref="C60:I60" si="14">C42+C47+C54+C57</f>
        <v>73359608.979999989</v>
      </c>
      <c r="D60" s="66">
        <f t="shared" si="14"/>
        <v>141090000</v>
      </c>
      <c r="E60" s="65">
        <f t="shared" si="14"/>
        <v>142340000</v>
      </c>
      <c r="F60" s="65">
        <f t="shared" si="14"/>
        <v>-439680.46000000089</v>
      </c>
      <c r="G60" s="65">
        <f t="shared" si="14"/>
        <v>124279493.42</v>
      </c>
      <c r="H60" s="65">
        <f t="shared" si="14"/>
        <v>141590000</v>
      </c>
      <c r="I60" s="65">
        <f t="shared" si="14"/>
        <v>-17310506.579999998</v>
      </c>
      <c r="J60" s="259">
        <f>IF(I60=0,"",I60/H60)</f>
        <v>-0.12225797429196976</v>
      </c>
      <c r="K60" s="120">
        <f>K42+K47+K54+K57</f>
        <v>141090000</v>
      </c>
    </row>
    <row r="61" spans="1:11" ht="5.0999999999999996" customHeight="1" x14ac:dyDescent="0.25">
      <c r="A61" s="39"/>
      <c r="B61" s="142"/>
      <c r="C61" s="111"/>
      <c r="D61" s="43"/>
      <c r="E61" s="41"/>
      <c r="F61" s="41"/>
      <c r="G61" s="41"/>
      <c r="H61" s="41"/>
      <c r="I61" s="41"/>
      <c r="J61" s="101"/>
      <c r="K61" s="119"/>
    </row>
    <row r="62" spans="1:11" ht="12.75" customHeight="1" x14ac:dyDescent="0.25">
      <c r="A62" s="489" t="s">
        <v>133</v>
      </c>
      <c r="B62" s="240"/>
      <c r="C62" s="94">
        <f t="shared" ref="C62:I62" si="15">C39+C60</f>
        <v>202130362.03</v>
      </c>
      <c r="D62" s="52">
        <f t="shared" si="15"/>
        <v>287545247</v>
      </c>
      <c r="E62" s="51">
        <f t="shared" si="15"/>
        <v>278468247</v>
      </c>
      <c r="F62" s="51">
        <f t="shared" si="15"/>
        <v>12526672.58</v>
      </c>
      <c r="G62" s="51">
        <f t="shared" si="15"/>
        <v>254292258.84</v>
      </c>
      <c r="H62" s="51">
        <f t="shared" si="15"/>
        <v>278468247</v>
      </c>
      <c r="I62" s="51">
        <f t="shared" si="15"/>
        <v>-24175988.159999996</v>
      </c>
      <c r="J62" s="245">
        <f>IF(I62=0,"",I62/H62)</f>
        <v>-8.6817755418986772E-2</v>
      </c>
      <c r="K62" s="198">
        <f>K39+K60</f>
        <v>287545247</v>
      </c>
    </row>
    <row r="63" spans="1:11" ht="12.75" customHeight="1" x14ac:dyDescent="0.25">
      <c r="A63" s="53" t="str">
        <f>head27a</f>
        <v>References</v>
      </c>
      <c r="C63" s="55"/>
      <c r="D63" s="55"/>
      <c r="E63" s="55"/>
      <c r="F63" s="55"/>
      <c r="G63" s="55"/>
      <c r="H63" s="55"/>
      <c r="I63" s="55"/>
      <c r="J63" s="55"/>
      <c r="K63" s="55"/>
    </row>
    <row r="64" spans="1:11" ht="12.75" customHeight="1" x14ac:dyDescent="0.25">
      <c r="A64" s="72"/>
    </row>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sheetData>
  <mergeCells count="3">
    <mergeCell ref="A2:A3"/>
    <mergeCell ref="B2:B3"/>
    <mergeCell ref="A1:K1"/>
  </mergeCells>
  <phoneticPr fontId="3" type="noConversion"/>
  <printOptions horizontalCentered="1"/>
  <pageMargins left="0.35" right="0.14000000000000001" top="0.77" bottom="0.6" header="0.51181102362204722" footer="0.51"/>
  <pageSetup paperSize="9" scale="8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81">
    <tabColor indexed="42"/>
    <pageSetUpPr fitToPage="1"/>
  </sheetPr>
  <dimension ref="A1:G84"/>
  <sheetViews>
    <sheetView showGridLines="0" showZeros="0" zoomScaleNormal="100" workbookViewId="0">
      <pane xSplit="1" ySplit="4" topLeftCell="B5" activePane="bottomRight" state="frozen"/>
      <selection pane="topRight"/>
      <selection pane="bottomLeft"/>
      <selection pane="bottomRight" activeCell="D40" sqref="D40:E43"/>
    </sheetView>
  </sheetViews>
  <sheetFormatPr defaultColWidth="9.140625" defaultRowHeight="12.75" x14ac:dyDescent="0.25"/>
  <cols>
    <col min="1" max="1" width="40.7109375" style="22" customWidth="1"/>
    <col min="2" max="2" width="3.5703125" style="54" customWidth="1"/>
    <col min="3" max="3" width="10.7109375" style="22" customWidth="1"/>
    <col min="4" max="7" width="11.7109375" style="22" customWidth="1"/>
    <col min="8" max="8" width="9.85546875" style="22" customWidth="1"/>
    <col min="9" max="9" width="9.5703125" style="22" customWidth="1"/>
    <col min="10" max="10" width="9.85546875" style="22" customWidth="1"/>
    <col min="11" max="13" width="9.5703125" style="22" customWidth="1"/>
    <col min="14" max="14" width="9.85546875" style="22" customWidth="1"/>
    <col min="15" max="17" width="9.5703125" style="22" customWidth="1"/>
    <col min="18" max="19" width="9.85546875" style="22" customWidth="1"/>
    <col min="20" max="16384" width="9.140625" style="22"/>
  </cols>
  <sheetData>
    <row r="1" spans="1:7" ht="13.5" x14ac:dyDescent="0.25">
      <c r="A1" s="1003" t="str">
        <f>muni&amp; " - "&amp;S71T&amp; " - "&amp;Head57</f>
        <v>WC025 Breede Valley - Supporting Table SC7(2) Monthly Budget Statement - Expenditure against approved rollovers - Q4 Fourth Quarter</v>
      </c>
      <c r="B1" s="1003"/>
      <c r="C1" s="1003"/>
      <c r="D1" s="1003"/>
      <c r="E1" s="1003"/>
      <c r="F1" s="1003"/>
      <c r="G1" s="1003"/>
    </row>
    <row r="2" spans="1:7" ht="21.75" customHeight="1" x14ac:dyDescent="0.25">
      <c r="A2" s="980" t="str">
        <f>desc</f>
        <v>Description</v>
      </c>
      <c r="B2" s="973" t="str">
        <f>head27</f>
        <v>Ref</v>
      </c>
      <c r="C2" s="975" t="str">
        <f>Head2</f>
        <v>Budget Year 2018/19</v>
      </c>
      <c r="D2" s="976"/>
      <c r="E2" s="976"/>
      <c r="F2" s="976"/>
      <c r="G2" s="977"/>
    </row>
    <row r="3" spans="1:7" ht="39.75" customHeight="1" x14ac:dyDescent="0.25">
      <c r="A3" s="981"/>
      <c r="B3" s="987"/>
      <c r="C3" s="164" t="str">
        <f>"Approved Rollover " &amp;Head1</f>
        <v>Approved Rollover 2017/18</v>
      </c>
      <c r="D3" s="116" t="str">
        <f>Head38</f>
        <v>Monthly actual</v>
      </c>
      <c r="E3" s="116" t="str">
        <f>Head39</f>
        <v>YearTD actual</v>
      </c>
      <c r="F3" s="116" t="str">
        <f>Head41</f>
        <v>YTD variance</v>
      </c>
      <c r="G3" s="632" t="str">
        <f>Head41</f>
        <v>YTD variance</v>
      </c>
    </row>
    <row r="4" spans="1:7" x14ac:dyDescent="0.25">
      <c r="A4" s="246" t="s">
        <v>678</v>
      </c>
      <c r="B4" s="211"/>
      <c r="C4" s="248"/>
      <c r="D4" s="250"/>
      <c r="E4" s="631"/>
      <c r="F4" s="250"/>
      <c r="G4" s="633" t="s">
        <v>586</v>
      </c>
    </row>
    <row r="5" spans="1:7" ht="12.75" customHeight="1" x14ac:dyDescent="0.25">
      <c r="A5" s="112" t="s">
        <v>545</v>
      </c>
      <c r="B5" s="264"/>
      <c r="C5" s="43"/>
      <c r="D5" s="41"/>
      <c r="E5" s="41"/>
      <c r="F5" s="41"/>
      <c r="G5" s="234"/>
    </row>
    <row r="6" spans="1:7" ht="5.0999999999999996" customHeight="1" x14ac:dyDescent="0.25">
      <c r="A6" s="32"/>
      <c r="B6" s="142"/>
      <c r="C6" s="43"/>
      <c r="D6" s="41"/>
      <c r="E6" s="41"/>
      <c r="F6" s="41"/>
      <c r="G6" s="234"/>
    </row>
    <row r="7" spans="1:7" ht="12.75" customHeight="1" x14ac:dyDescent="0.25">
      <c r="A7" s="32" t="s">
        <v>1111</v>
      </c>
      <c r="B7" s="142"/>
      <c r="C7" s="43"/>
      <c r="D7" s="41"/>
      <c r="E7" s="41"/>
      <c r="F7" s="41"/>
      <c r="G7" s="234"/>
    </row>
    <row r="8" spans="1:7" ht="14.25" customHeight="1" x14ac:dyDescent="0.25">
      <c r="A8" s="88" t="str">
        <f>'SC6'!A8</f>
        <v>National Government:</v>
      </c>
      <c r="B8" s="142"/>
      <c r="C8" s="47">
        <f>SUM(C9:C15)</f>
        <v>0</v>
      </c>
      <c r="D8" s="46">
        <f>SUM(D9:D15)</f>
        <v>0</v>
      </c>
      <c r="E8" s="46">
        <f>SUM(E9:E15)</f>
        <v>0</v>
      </c>
      <c r="F8" s="46">
        <f>SUM(F9:F15)</f>
        <v>0</v>
      </c>
      <c r="G8" s="634" t="str">
        <f>IF(F8=0,"",F8/C8)</f>
        <v/>
      </c>
    </row>
    <row r="9" spans="1:7" x14ac:dyDescent="0.25">
      <c r="A9" s="333" t="str">
        <f>'SC6'!A9</f>
        <v>Local Government Equitable Share</v>
      </c>
      <c r="B9" s="142"/>
      <c r="C9" s="542"/>
      <c r="D9" s="516"/>
      <c r="E9" s="516"/>
      <c r="F9" s="404">
        <f>E9-C9</f>
        <v>0</v>
      </c>
      <c r="G9" s="635" t="str">
        <f t="shared" ref="G9:G53" si="0">IF(F9=0,"",F9/C9)</f>
        <v/>
      </c>
    </row>
    <row r="10" spans="1:7" ht="12.75" customHeight="1" x14ac:dyDescent="0.25">
      <c r="A10" s="333" t="str">
        <f>'SC6'!A10</f>
        <v>Local Government Financial Management Grant</v>
      </c>
      <c r="B10" s="142"/>
      <c r="C10" s="328"/>
      <c r="D10" s="329"/>
      <c r="E10" s="329"/>
      <c r="F10" s="41">
        <f t="shared" ref="F10:F15" si="1">C10-E10</f>
        <v>0</v>
      </c>
      <c r="G10" s="234" t="str">
        <f t="shared" si="0"/>
        <v/>
      </c>
    </row>
    <row r="11" spans="1:7" ht="12.75" customHeight="1" x14ac:dyDescent="0.25">
      <c r="A11" s="333" t="str">
        <f>'SC6'!A11</f>
        <v>Municipal Systems Improvement grant</v>
      </c>
      <c r="B11" s="142"/>
      <c r="C11" s="328"/>
      <c r="D11" s="329"/>
      <c r="E11" s="329"/>
      <c r="F11" s="41">
        <f t="shared" si="1"/>
        <v>0</v>
      </c>
      <c r="G11" s="234" t="str">
        <f t="shared" si="0"/>
        <v/>
      </c>
    </row>
    <row r="12" spans="1:7" ht="12.75" customHeight="1" x14ac:dyDescent="0.25">
      <c r="A12" s="333" t="str">
        <f>'SC6'!A12</f>
        <v>Expanded Public Works Programme Integrated grant</v>
      </c>
      <c r="B12" s="142"/>
      <c r="C12" s="328"/>
      <c r="D12" s="329"/>
      <c r="E12" s="329"/>
      <c r="F12" s="41">
        <f t="shared" si="1"/>
        <v>0</v>
      </c>
      <c r="G12" s="234" t="str">
        <f t="shared" si="0"/>
        <v/>
      </c>
    </row>
    <row r="13" spans="1:7" ht="12.75" customHeight="1" x14ac:dyDescent="0.25">
      <c r="A13" s="333">
        <f>'SC6'!A13</f>
        <v>0</v>
      </c>
      <c r="B13" s="142"/>
      <c r="C13" s="328"/>
      <c r="D13" s="329"/>
      <c r="E13" s="329"/>
      <c r="F13" s="41">
        <f t="shared" si="1"/>
        <v>0</v>
      </c>
      <c r="G13" s="234" t="str">
        <f t="shared" si="0"/>
        <v/>
      </c>
    </row>
    <row r="14" spans="1:7" ht="12.75" customHeight="1" x14ac:dyDescent="0.25">
      <c r="A14" s="333"/>
      <c r="B14" s="142"/>
      <c r="C14" s="328"/>
      <c r="D14" s="329"/>
      <c r="E14" s="329"/>
      <c r="F14" s="41">
        <f t="shared" si="1"/>
        <v>0</v>
      </c>
      <c r="G14" s="234" t="str">
        <f t="shared" si="0"/>
        <v/>
      </c>
    </row>
    <row r="15" spans="1:7" ht="12.75" customHeight="1" x14ac:dyDescent="0.25">
      <c r="A15" s="333" t="str">
        <f>'SC6'!A14</f>
        <v>Other transfers and grants [insert description]</v>
      </c>
      <c r="B15" s="142"/>
      <c r="C15" s="328"/>
      <c r="D15" s="329"/>
      <c r="E15" s="329"/>
      <c r="F15" s="41">
        <f t="shared" si="1"/>
        <v>0</v>
      </c>
      <c r="G15" s="234" t="str">
        <f t="shared" si="0"/>
        <v/>
      </c>
    </row>
    <row r="16" spans="1:7" ht="12.75" customHeight="1" x14ac:dyDescent="0.25">
      <c r="A16" s="290" t="str">
        <f>'SC6'!A15</f>
        <v>Provincial Government:</v>
      </c>
      <c r="B16" s="142"/>
      <c r="C16" s="380">
        <f>SUM(C17:C22)</f>
        <v>7755405</v>
      </c>
      <c r="D16" s="356">
        <f>SUM(D17:D22)</f>
        <v>1442644.37</v>
      </c>
      <c r="E16" s="356">
        <f>SUM(E17:E22)</f>
        <v>1809819.22</v>
      </c>
      <c r="F16" s="356">
        <f>SUM(F17:F22)</f>
        <v>5945585.7799999993</v>
      </c>
      <c r="G16" s="636">
        <f t="shared" si="0"/>
        <v>0.76663769074600219</v>
      </c>
    </row>
    <row r="17" spans="1:7" ht="12.75" customHeight="1" x14ac:dyDescent="0.25">
      <c r="A17" s="333" t="str">
        <f>'SC6'!A16</f>
        <v>Human Settlement development Grant</v>
      </c>
      <c r="B17" s="142"/>
      <c r="C17" s="542">
        <v>6934451</v>
      </c>
      <c r="D17" s="516">
        <v>1045290.39</v>
      </c>
      <c r="E17" s="516">
        <v>1412465.24</v>
      </c>
      <c r="F17" s="404">
        <f t="shared" ref="F17:F22" si="2">C17-E17</f>
        <v>5521985.7599999998</v>
      </c>
      <c r="G17" s="635">
        <f t="shared" si="0"/>
        <v>0.79631188683862641</v>
      </c>
    </row>
    <row r="18" spans="1:7" ht="12.75" customHeight="1" x14ac:dyDescent="0.25">
      <c r="A18" s="333" t="s">
        <v>1580</v>
      </c>
      <c r="B18" s="142"/>
      <c r="C18" s="328">
        <v>44154</v>
      </c>
      <c r="D18" s="329">
        <v>44153.94</v>
      </c>
      <c r="E18" s="329">
        <v>44153.94</v>
      </c>
      <c r="F18" s="41">
        <f t="shared" si="2"/>
        <v>5.9999999997671694E-2</v>
      </c>
      <c r="G18" s="234">
        <f t="shared" si="0"/>
        <v>1.3588802825943673E-6</v>
      </c>
    </row>
    <row r="19" spans="1:7" ht="12.75" customHeight="1" x14ac:dyDescent="0.25">
      <c r="A19" s="333" t="s">
        <v>1551</v>
      </c>
      <c r="B19" s="142"/>
      <c r="C19" s="328">
        <v>240000</v>
      </c>
      <c r="D19" s="329">
        <v>240000</v>
      </c>
      <c r="E19" s="329">
        <v>240000</v>
      </c>
      <c r="F19" s="41">
        <f t="shared" si="2"/>
        <v>0</v>
      </c>
      <c r="G19" s="234" t="str">
        <f t="shared" si="0"/>
        <v/>
      </c>
    </row>
    <row r="20" spans="1:7" ht="12.75" customHeight="1" x14ac:dyDescent="0.25">
      <c r="A20" s="333" t="str">
        <f>'SC6'!A20</f>
        <v>Regional Socio-Economic Project</v>
      </c>
      <c r="B20" s="142"/>
      <c r="C20" s="328">
        <v>510000</v>
      </c>
      <c r="D20" s="329">
        <v>86400</v>
      </c>
      <c r="E20" s="329">
        <v>86400</v>
      </c>
      <c r="F20" s="41">
        <f t="shared" si="2"/>
        <v>423600</v>
      </c>
      <c r="G20" s="234">
        <f t="shared" si="0"/>
        <v>0.83058823529411763</v>
      </c>
    </row>
    <row r="21" spans="1:7" ht="12.75" customHeight="1" x14ac:dyDescent="0.25">
      <c r="A21" s="333" t="s">
        <v>1555</v>
      </c>
      <c r="B21" s="142"/>
      <c r="C21" s="328">
        <v>26800</v>
      </c>
      <c r="D21" s="329">
        <v>26800.04</v>
      </c>
      <c r="E21" s="329">
        <v>26800.04</v>
      </c>
      <c r="F21" s="41">
        <f t="shared" si="2"/>
        <v>-4.0000000000873115E-2</v>
      </c>
      <c r="G21" s="234">
        <f t="shared" si="0"/>
        <v>-1.4925373134654148E-6</v>
      </c>
    </row>
    <row r="22" spans="1:7" ht="12.75" customHeight="1" x14ac:dyDescent="0.25">
      <c r="A22" s="333" t="str">
        <f>'SC6'!A27</f>
        <v>Other transfers and grants [insert description]</v>
      </c>
      <c r="B22" s="142"/>
      <c r="C22" s="328"/>
      <c r="D22" s="329"/>
      <c r="E22" s="329"/>
      <c r="F22" s="41">
        <f t="shared" si="2"/>
        <v>0</v>
      </c>
      <c r="G22" s="234" t="str">
        <f t="shared" si="0"/>
        <v/>
      </c>
    </row>
    <row r="23" spans="1:7" ht="12.75" customHeight="1" x14ac:dyDescent="0.25">
      <c r="A23" s="290" t="str">
        <f>'SC6'!A28</f>
        <v>District Municipality:</v>
      </c>
      <c r="B23" s="142"/>
      <c r="C23" s="380">
        <f>SUM(C24:C25)</f>
        <v>0</v>
      </c>
      <c r="D23" s="356">
        <f>SUM(D24:D25)</f>
        <v>0</v>
      </c>
      <c r="E23" s="356">
        <f>SUM(E24:E25)</f>
        <v>0</v>
      </c>
      <c r="F23" s="404">
        <f>SUM(F24:F25)</f>
        <v>0</v>
      </c>
      <c r="G23" s="635" t="str">
        <f t="shared" si="0"/>
        <v/>
      </c>
    </row>
    <row r="24" spans="1:7" ht="12.75" customHeight="1" x14ac:dyDescent="0.25">
      <c r="A24" s="290"/>
      <c r="B24" s="142"/>
      <c r="C24" s="546"/>
      <c r="D24" s="519"/>
      <c r="E24" s="519"/>
      <c r="F24" s="404">
        <f>C24-E24</f>
        <v>0</v>
      </c>
      <c r="G24" s="635" t="str">
        <f t="shared" si="0"/>
        <v/>
      </c>
    </row>
    <row r="25" spans="1:7" ht="12.75" customHeight="1" x14ac:dyDescent="0.25">
      <c r="A25" s="334" t="str">
        <f>'SC6'!A29</f>
        <v>CWDM Projects</v>
      </c>
      <c r="B25" s="142"/>
      <c r="C25" s="328"/>
      <c r="D25" s="329"/>
      <c r="E25" s="329"/>
      <c r="F25" s="41">
        <f>C25-E25</f>
        <v>0</v>
      </c>
      <c r="G25" s="234" t="str">
        <f t="shared" si="0"/>
        <v/>
      </c>
    </row>
    <row r="26" spans="1:7" ht="12.75" customHeight="1" x14ac:dyDescent="0.25">
      <c r="A26" s="290" t="str">
        <f>'SC6'!A31</f>
        <v>Other grant providers:</v>
      </c>
      <c r="B26" s="142"/>
      <c r="C26" s="380">
        <f>SUM(C27:C28)</f>
        <v>0</v>
      </c>
      <c r="D26" s="356">
        <f>SUM(D27:D28)</f>
        <v>0</v>
      </c>
      <c r="E26" s="356">
        <f>SUM(E27:E28)</f>
        <v>0</v>
      </c>
      <c r="F26" s="404">
        <f>SUM(F27:F28)</f>
        <v>0</v>
      </c>
      <c r="G26" s="635" t="str">
        <f t="shared" si="0"/>
        <v/>
      </c>
    </row>
    <row r="27" spans="1:7" ht="12.75" customHeight="1" x14ac:dyDescent="0.25">
      <c r="A27" s="290"/>
      <c r="B27" s="142"/>
      <c r="C27" s="546"/>
      <c r="D27" s="519"/>
      <c r="E27" s="519"/>
      <c r="F27" s="404">
        <f>C27-E27</f>
        <v>0</v>
      </c>
      <c r="G27" s="635" t="str">
        <f t="shared" si="0"/>
        <v/>
      </c>
    </row>
    <row r="28" spans="1:7" ht="12.75" customHeight="1" x14ac:dyDescent="0.25">
      <c r="A28" s="334" t="str">
        <f>'SC6'!A32</f>
        <v>Learnership SETA</v>
      </c>
      <c r="B28" s="142"/>
      <c r="C28" s="328"/>
      <c r="D28" s="329"/>
      <c r="E28" s="329"/>
      <c r="F28" s="41">
        <f>C28-E28</f>
        <v>0</v>
      </c>
      <c r="G28" s="234" t="str">
        <f t="shared" si="0"/>
        <v/>
      </c>
    </row>
    <row r="29" spans="1:7" ht="12.75" customHeight="1" x14ac:dyDescent="0.25">
      <c r="A29" s="438" t="s">
        <v>1112</v>
      </c>
      <c r="B29" s="196"/>
      <c r="C29" s="66">
        <f>C8+C16+C23+C26</f>
        <v>7755405</v>
      </c>
      <c r="D29" s="65">
        <f>D8+D16+D23+D26</f>
        <v>1442644.37</v>
      </c>
      <c r="E29" s="65">
        <f>E8+E16+E23+E26</f>
        <v>1809819.22</v>
      </c>
      <c r="F29" s="65">
        <f>F8+F16+F23+F26</f>
        <v>5945585.7799999993</v>
      </c>
      <c r="G29" s="637">
        <f t="shared" si="0"/>
        <v>0.76663769074600219</v>
      </c>
    </row>
    <row r="30" spans="1:7" ht="5.0999999999999996" customHeight="1" x14ac:dyDescent="0.25">
      <c r="A30" s="39"/>
      <c r="B30" s="142"/>
      <c r="C30" s="43"/>
      <c r="D30" s="41"/>
      <c r="E30" s="41"/>
      <c r="F30" s="41"/>
      <c r="G30" s="234" t="str">
        <f t="shared" si="0"/>
        <v/>
      </c>
    </row>
    <row r="31" spans="1:7" ht="12.75" customHeight="1" x14ac:dyDescent="0.25">
      <c r="A31" s="32" t="s">
        <v>1113</v>
      </c>
      <c r="B31" s="142"/>
      <c r="C31" s="43"/>
      <c r="D31" s="41"/>
      <c r="E31" s="41"/>
      <c r="F31" s="41"/>
      <c r="G31" s="234" t="str">
        <f t="shared" si="0"/>
        <v/>
      </c>
    </row>
    <row r="32" spans="1:7" ht="13.5" customHeight="1" x14ac:dyDescent="0.25">
      <c r="A32" s="290" t="str">
        <f>'SC6'!A42</f>
        <v>National Government:</v>
      </c>
      <c r="B32" s="142"/>
      <c r="C32" s="43">
        <f>SUM(C33:C38)</f>
        <v>0</v>
      </c>
      <c r="D32" s="41">
        <f>SUM(D33:D38)</f>
        <v>0</v>
      </c>
      <c r="E32" s="41">
        <f>SUM(E33:E38)</f>
        <v>0</v>
      </c>
      <c r="F32" s="41">
        <f>SUM(F33:F38)</f>
        <v>0</v>
      </c>
      <c r="G32" s="634" t="str">
        <f t="shared" si="0"/>
        <v/>
      </c>
    </row>
    <row r="33" spans="1:7" ht="12.75" customHeight="1" x14ac:dyDescent="0.25">
      <c r="A33" s="333" t="str">
        <f>'SC6'!A43</f>
        <v>Municipal Infrastructure grant</v>
      </c>
      <c r="B33" s="142"/>
      <c r="C33" s="542"/>
      <c r="D33" s="516"/>
      <c r="E33" s="516"/>
      <c r="F33" s="404">
        <f t="shared" ref="F33:F38" si="3">C33-E33</f>
        <v>0</v>
      </c>
      <c r="G33" s="635" t="str">
        <f t="shared" si="0"/>
        <v/>
      </c>
    </row>
    <row r="34" spans="1:7" ht="12.75" customHeight="1" x14ac:dyDescent="0.25">
      <c r="A34" s="333"/>
      <c r="B34" s="142"/>
      <c r="C34" s="328"/>
      <c r="D34" s="329"/>
      <c r="E34" s="329"/>
      <c r="F34" s="41">
        <f t="shared" si="3"/>
        <v>0</v>
      </c>
      <c r="G34" s="234" t="str">
        <f t="shared" si="0"/>
        <v/>
      </c>
    </row>
    <row r="35" spans="1:7" ht="12.75" customHeight="1" x14ac:dyDescent="0.25">
      <c r="A35" s="333"/>
      <c r="B35" s="142"/>
      <c r="C35" s="328"/>
      <c r="D35" s="329"/>
      <c r="E35" s="329"/>
      <c r="F35" s="41">
        <f t="shared" si="3"/>
        <v>0</v>
      </c>
      <c r="G35" s="234" t="str">
        <f t="shared" si="0"/>
        <v/>
      </c>
    </row>
    <row r="36" spans="1:7" ht="12.75" customHeight="1" x14ac:dyDescent="0.25">
      <c r="A36" s="333"/>
      <c r="B36" s="142"/>
      <c r="C36" s="328"/>
      <c r="D36" s="329"/>
      <c r="E36" s="329"/>
      <c r="F36" s="41">
        <f t="shared" si="3"/>
        <v>0</v>
      </c>
      <c r="G36" s="234" t="str">
        <f t="shared" si="0"/>
        <v/>
      </c>
    </row>
    <row r="37" spans="1:7" ht="12.75" customHeight="1" x14ac:dyDescent="0.25">
      <c r="A37" s="333"/>
      <c r="B37" s="142"/>
      <c r="C37" s="328"/>
      <c r="D37" s="329"/>
      <c r="E37" s="329"/>
      <c r="F37" s="41">
        <f t="shared" si="3"/>
        <v>0</v>
      </c>
      <c r="G37" s="234" t="str">
        <f t="shared" si="0"/>
        <v/>
      </c>
    </row>
    <row r="38" spans="1:7" ht="12.75" customHeight="1" x14ac:dyDescent="0.25">
      <c r="A38" s="333" t="str">
        <f>'SC6'!A46</f>
        <v>Other capital transfers [insert description]</v>
      </c>
      <c r="B38" s="142"/>
      <c r="C38" s="328"/>
      <c r="D38" s="329"/>
      <c r="E38" s="329"/>
      <c r="F38" s="41">
        <f t="shared" si="3"/>
        <v>0</v>
      </c>
      <c r="G38" s="234" t="str">
        <f t="shared" si="0"/>
        <v/>
      </c>
    </row>
    <row r="39" spans="1:7" ht="12.75" customHeight="1" x14ac:dyDescent="0.25">
      <c r="A39" s="290" t="str">
        <f>'SC6'!A47</f>
        <v>Provincial Government:</v>
      </c>
      <c r="B39" s="142"/>
      <c r="C39" s="380">
        <f>SUM(C40:C44)</f>
        <v>14906715</v>
      </c>
      <c r="D39" s="356">
        <f>SUM(D40:D44)</f>
        <v>11642270.450000001</v>
      </c>
      <c r="E39" s="356">
        <f>SUM(E40:E44)</f>
        <v>14903234.41</v>
      </c>
      <c r="F39" s="404">
        <f>SUM(F40:F44)</f>
        <v>3480.5900000000838</v>
      </c>
      <c r="G39" s="635">
        <f t="shared" si="0"/>
        <v>2.334914164522555E-4</v>
      </c>
    </row>
    <row r="40" spans="1:7" ht="12.75" customHeight="1" x14ac:dyDescent="0.25">
      <c r="A40" s="333" t="s">
        <v>1545</v>
      </c>
      <c r="B40" s="142"/>
      <c r="C40" s="546">
        <v>7793296</v>
      </c>
      <c r="D40" s="519">
        <v>7793296</v>
      </c>
      <c r="E40" s="519">
        <v>7793296</v>
      </c>
      <c r="F40" s="404">
        <f>C40-E40</f>
        <v>0</v>
      </c>
      <c r="G40" s="635" t="str">
        <f t="shared" si="0"/>
        <v/>
      </c>
    </row>
    <row r="41" spans="1:7" ht="12.75" customHeight="1" x14ac:dyDescent="0.25">
      <c r="A41" s="333" t="s">
        <v>1549</v>
      </c>
      <c r="B41" s="142"/>
      <c r="C41" s="549">
        <v>1498418</v>
      </c>
      <c r="D41" s="550">
        <v>1498418</v>
      </c>
      <c r="E41" s="550">
        <v>1498418</v>
      </c>
      <c r="F41" s="404">
        <f t="shared" ref="F41:F43" si="4">C41-E41</f>
        <v>0</v>
      </c>
      <c r="G41" s="234"/>
    </row>
    <row r="42" spans="1:7" ht="12.75" customHeight="1" x14ac:dyDescent="0.25">
      <c r="A42" s="333" t="s">
        <v>1547</v>
      </c>
      <c r="B42" s="142"/>
      <c r="C42" s="549">
        <v>4115001</v>
      </c>
      <c r="D42" s="550">
        <v>854037.46</v>
      </c>
      <c r="E42" s="550">
        <v>4115001.42</v>
      </c>
      <c r="F42" s="404">
        <f t="shared" si="4"/>
        <v>-0.41999999992549419</v>
      </c>
      <c r="G42" s="234"/>
    </row>
    <row r="43" spans="1:7" ht="12.75" customHeight="1" x14ac:dyDescent="0.25">
      <c r="A43" s="333" t="s">
        <v>1563</v>
      </c>
      <c r="B43" s="142"/>
      <c r="C43" s="549">
        <v>1500000</v>
      </c>
      <c r="D43" s="550">
        <v>1496518.99</v>
      </c>
      <c r="E43" s="550">
        <v>1496518.99</v>
      </c>
      <c r="F43" s="404">
        <f t="shared" si="4"/>
        <v>3481.0100000000093</v>
      </c>
      <c r="G43" s="234"/>
    </row>
    <row r="44" spans="1:7" ht="12.75" customHeight="1" x14ac:dyDescent="0.25">
      <c r="A44" s="333">
        <f>'SC6'!A53</f>
        <v>0</v>
      </c>
      <c r="B44" s="142"/>
      <c r="C44" s="328"/>
      <c r="D44" s="329"/>
      <c r="E44" s="329"/>
      <c r="F44" s="41">
        <f>C44-E44</f>
        <v>0</v>
      </c>
      <c r="G44" s="234" t="str">
        <f t="shared" si="0"/>
        <v/>
      </c>
    </row>
    <row r="45" spans="1:7" ht="12.75" customHeight="1" x14ac:dyDescent="0.25">
      <c r="A45" s="290" t="str">
        <f>'SC6'!A54</f>
        <v>District Municipality:</v>
      </c>
      <c r="B45" s="142"/>
      <c r="C45" s="380">
        <f>SUM(C46:C47)</f>
        <v>0</v>
      </c>
      <c r="D45" s="356">
        <f>SUM(D46:D47)</f>
        <v>0</v>
      </c>
      <c r="E45" s="356">
        <f>SUM(E46:E47)</f>
        <v>0</v>
      </c>
      <c r="F45" s="404">
        <f>SUM(F46:F47)</f>
        <v>0</v>
      </c>
      <c r="G45" s="635" t="str">
        <f t="shared" si="0"/>
        <v/>
      </c>
    </row>
    <row r="46" spans="1:7" ht="12.75" customHeight="1" x14ac:dyDescent="0.25">
      <c r="A46" s="290"/>
      <c r="B46" s="142"/>
      <c r="C46" s="546"/>
      <c r="D46" s="519"/>
      <c r="E46" s="519"/>
      <c r="F46" s="404">
        <f>C46-E46</f>
        <v>0</v>
      </c>
      <c r="G46" s="635" t="str">
        <f t="shared" si="0"/>
        <v/>
      </c>
    </row>
    <row r="47" spans="1:7" ht="12.75" customHeight="1" x14ac:dyDescent="0.25">
      <c r="A47" s="334">
        <f>'SC6'!A56</f>
        <v>0</v>
      </c>
      <c r="B47" s="142"/>
      <c r="C47" s="328"/>
      <c r="D47" s="329"/>
      <c r="E47" s="329"/>
      <c r="F47" s="41">
        <f>C47-E47</f>
        <v>0</v>
      </c>
      <c r="G47" s="234" t="str">
        <f t="shared" si="0"/>
        <v/>
      </c>
    </row>
    <row r="48" spans="1:7" ht="12.75" customHeight="1" x14ac:dyDescent="0.25">
      <c r="A48" s="290" t="str">
        <f>'SC6'!A57</f>
        <v>Other grant providers:</v>
      </c>
      <c r="B48" s="142"/>
      <c r="C48" s="380">
        <f>SUM(C49:C50)</f>
        <v>0</v>
      </c>
      <c r="D48" s="356">
        <f>SUM(D49:D50)</f>
        <v>0</v>
      </c>
      <c r="E48" s="356">
        <f>SUM(E49:E50)</f>
        <v>0</v>
      </c>
      <c r="F48" s="404">
        <f>SUM(F49:F50)</f>
        <v>0</v>
      </c>
      <c r="G48" s="635" t="str">
        <f t="shared" si="0"/>
        <v/>
      </c>
    </row>
    <row r="49" spans="1:7" ht="12.75" customHeight="1" x14ac:dyDescent="0.25">
      <c r="A49" s="290"/>
      <c r="B49" s="142"/>
      <c r="C49" s="546"/>
      <c r="D49" s="519"/>
      <c r="E49" s="519"/>
      <c r="F49" s="404">
        <f>C49-E49</f>
        <v>0</v>
      </c>
      <c r="G49" s="635" t="str">
        <f t="shared" si="0"/>
        <v/>
      </c>
    </row>
    <row r="50" spans="1:7" ht="12.75" customHeight="1" x14ac:dyDescent="0.25">
      <c r="A50" s="334">
        <f>'SC6'!A63</f>
        <v>0</v>
      </c>
      <c r="B50" s="142"/>
      <c r="C50" s="328"/>
      <c r="D50" s="329"/>
      <c r="E50" s="329"/>
      <c r="F50" s="41">
        <f>C50-E50</f>
        <v>0</v>
      </c>
      <c r="G50" s="234" t="str">
        <f t="shared" si="0"/>
        <v/>
      </c>
    </row>
    <row r="51" spans="1:7" ht="12.75" customHeight="1" x14ac:dyDescent="0.25">
      <c r="A51" s="437" t="s">
        <v>1114</v>
      </c>
      <c r="B51" s="196"/>
      <c r="C51" s="66">
        <f>C32+C39+C45+C48</f>
        <v>14906715</v>
      </c>
      <c r="D51" s="65">
        <f>D32+D39+D45+D48</f>
        <v>11642270.450000001</v>
      </c>
      <c r="E51" s="65">
        <f>E32+E39+E45+E48</f>
        <v>14903234.41</v>
      </c>
      <c r="F51" s="65">
        <f>F32+F39+F45+F48</f>
        <v>3480.5900000000838</v>
      </c>
      <c r="G51" s="637">
        <f t="shared" si="0"/>
        <v>2.334914164522555E-4</v>
      </c>
    </row>
    <row r="52" spans="1:7" ht="5.0999999999999996" customHeight="1" x14ac:dyDescent="0.25">
      <c r="A52" s="39"/>
      <c r="B52" s="142"/>
      <c r="C52" s="43"/>
      <c r="D52" s="41"/>
      <c r="E52" s="41"/>
      <c r="F52" s="41"/>
      <c r="G52" s="234"/>
    </row>
    <row r="53" spans="1:7" ht="12.75" customHeight="1" x14ac:dyDescent="0.25">
      <c r="A53" s="489" t="s">
        <v>1115</v>
      </c>
      <c r="B53" s="240"/>
      <c r="C53" s="52">
        <f>C29+C51</f>
        <v>22662120</v>
      </c>
      <c r="D53" s="51">
        <f>D29+D51</f>
        <v>13084914.82</v>
      </c>
      <c r="E53" s="51">
        <f>E29+E51</f>
        <v>16713053.630000001</v>
      </c>
      <c r="F53" s="51">
        <f>F29+F51</f>
        <v>5949066.3699999992</v>
      </c>
      <c r="G53" s="638">
        <f t="shared" si="0"/>
        <v>0.26251146715311713</v>
      </c>
    </row>
    <row r="54" spans="1:7" ht="12.75" customHeight="1" x14ac:dyDescent="0.25">
      <c r="A54" s="53" t="str">
        <f>head27a</f>
        <v>References</v>
      </c>
      <c r="C54" s="55"/>
      <c r="D54" s="55"/>
      <c r="E54" s="55"/>
      <c r="F54" s="55"/>
      <c r="G54" s="55"/>
    </row>
    <row r="55" spans="1:7" ht="12.75" customHeight="1" x14ac:dyDescent="0.25">
      <c r="A55" s="72"/>
    </row>
    <row r="56" spans="1:7" ht="11.25" customHeight="1" x14ac:dyDescent="0.25"/>
    <row r="57" spans="1:7" ht="11.25" customHeight="1" x14ac:dyDescent="0.25"/>
    <row r="58" spans="1:7" ht="11.25" customHeight="1" x14ac:dyDescent="0.25"/>
    <row r="59" spans="1:7" ht="11.25" customHeight="1" x14ac:dyDescent="0.25"/>
    <row r="60" spans="1:7" ht="11.25" customHeight="1" x14ac:dyDescent="0.25"/>
    <row r="61" spans="1:7" ht="11.25" customHeight="1" x14ac:dyDescent="0.25"/>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sheetData>
  <mergeCells count="4">
    <mergeCell ref="A1:G1"/>
    <mergeCell ref="A2:A3"/>
    <mergeCell ref="B2:B3"/>
    <mergeCell ref="C2:G2"/>
  </mergeCells>
  <printOptions horizontalCentered="1"/>
  <pageMargins left="0.35" right="0.14000000000000001" top="0.77" bottom="0.6" header="0.51181102362204722" footer="0.51"/>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3">
    <tabColor indexed="42"/>
    <pageSetUpPr fitToPage="1"/>
  </sheetPr>
  <dimension ref="A1:L110"/>
  <sheetViews>
    <sheetView showGridLines="0" view="pageBreakPreview" zoomScaleNormal="100" zoomScaleSheetLayoutView="100" workbookViewId="0">
      <pane xSplit="2" ySplit="4" topLeftCell="C35" activePane="bottomRight" state="frozen"/>
      <selection pane="topRight"/>
      <selection pane="bottomLeft"/>
      <selection pane="bottomRight" activeCell="G107" sqref="G107"/>
    </sheetView>
  </sheetViews>
  <sheetFormatPr defaultColWidth="9.140625" defaultRowHeight="12.75" x14ac:dyDescent="0.25"/>
  <cols>
    <col min="1" max="1" width="38.7109375" style="22" customWidth="1"/>
    <col min="2" max="2" width="3.5703125" style="54" customWidth="1"/>
    <col min="3" max="8" width="8.7109375" style="22" customWidth="1"/>
    <col min="9" max="10" width="6.7109375" style="22" customWidth="1"/>
    <col min="11" max="11" width="8.7109375" style="22" customWidth="1"/>
    <col min="12" max="12" width="2.140625" style="22" hidden="1" customWidth="1"/>
    <col min="13" max="13" width="9.5703125" style="22" customWidth="1"/>
    <col min="14" max="14" width="9.85546875" style="22" customWidth="1"/>
    <col min="15" max="17" width="9.5703125" style="22" customWidth="1"/>
    <col min="18" max="18" width="9.85546875" style="22" customWidth="1"/>
    <col min="19" max="21" width="9.5703125" style="22" customWidth="1"/>
    <col min="22" max="23" width="9.85546875" style="22" customWidth="1"/>
    <col min="24" max="16384" width="9.140625" style="22"/>
  </cols>
  <sheetData>
    <row r="1" spans="1:12" ht="13.5" x14ac:dyDescent="0.25">
      <c r="A1" s="991" t="str">
        <f>muni&amp; " - "&amp;S71N&amp; " - "&amp;Head57</f>
        <v>WC025 Breede Valley - Supporting Table SC8 Monthly Budget Statement - councillor and staff benefits  - Q4 Fourth Quarter</v>
      </c>
      <c r="B1" s="992"/>
      <c r="C1" s="992"/>
      <c r="D1" s="992"/>
      <c r="E1" s="992"/>
      <c r="F1" s="992"/>
      <c r="G1" s="992"/>
      <c r="H1" s="992"/>
      <c r="I1" s="992"/>
      <c r="J1" s="992"/>
      <c r="K1" s="993"/>
      <c r="L1" s="22">
        <v>12</v>
      </c>
    </row>
    <row r="2" spans="1:12" x14ac:dyDescent="0.25">
      <c r="A2" s="980" t="s">
        <v>661</v>
      </c>
      <c r="B2" s="973" t="str">
        <f>head27</f>
        <v>Ref</v>
      </c>
      <c r="C2" s="115" t="str">
        <f>Head1</f>
        <v>2017/18</v>
      </c>
      <c r="D2" s="208" t="str">
        <f>Head2</f>
        <v>Budget Year 2018/19</v>
      </c>
      <c r="E2" s="192"/>
      <c r="F2" s="192"/>
      <c r="G2" s="192"/>
      <c r="H2" s="192"/>
      <c r="I2" s="192"/>
      <c r="J2" s="192"/>
      <c r="K2" s="193"/>
    </row>
    <row r="3" spans="1:12" ht="25.5" x14ac:dyDescent="0.25">
      <c r="A3" s="981"/>
      <c r="B3" s="987"/>
      <c r="C3" s="132" t="str">
        <f>Head5</f>
        <v>Audited Outcome</v>
      </c>
      <c r="D3" s="164" t="str">
        <f>Head6</f>
        <v>Original Budget</v>
      </c>
      <c r="E3" s="116" t="str">
        <f>Head7</f>
        <v>Adjusted Budget</v>
      </c>
      <c r="F3" s="116" t="str">
        <f>Head38</f>
        <v>Monthly actual</v>
      </c>
      <c r="G3" s="116" t="str">
        <f>Head39</f>
        <v>YearTD actual</v>
      </c>
      <c r="H3" s="116" t="str">
        <f>Head40</f>
        <v>YearTD budget</v>
      </c>
      <c r="I3" s="116" t="str">
        <f>Head41</f>
        <v>YTD variance</v>
      </c>
      <c r="J3" s="170" t="str">
        <f>Head41</f>
        <v>YTD variance</v>
      </c>
      <c r="K3" s="137" t="str">
        <f>Head8</f>
        <v>Full Year Forecast</v>
      </c>
    </row>
    <row r="4" spans="1:12" x14ac:dyDescent="0.25">
      <c r="A4" s="246" t="s">
        <v>678</v>
      </c>
      <c r="B4" s="211"/>
      <c r="C4" s="247"/>
      <c r="D4" s="248"/>
      <c r="E4" s="249"/>
      <c r="F4" s="250"/>
      <c r="G4" s="250"/>
      <c r="H4" s="250"/>
      <c r="I4" s="250"/>
      <c r="J4" s="251" t="s">
        <v>586</v>
      </c>
      <c r="K4" s="252"/>
    </row>
    <row r="5" spans="1:12" ht="12.75" customHeight="1" x14ac:dyDescent="0.25">
      <c r="A5" s="439"/>
      <c r="B5" s="199">
        <v>1</v>
      </c>
      <c r="C5" s="440" t="s">
        <v>591</v>
      </c>
      <c r="D5" s="441" t="s">
        <v>546</v>
      </c>
      <c r="E5" s="442" t="s">
        <v>480</v>
      </c>
      <c r="F5" s="443"/>
      <c r="G5" s="443"/>
      <c r="H5" s="443"/>
      <c r="I5" s="443"/>
      <c r="J5" s="443"/>
      <c r="K5" s="444" t="s">
        <v>617</v>
      </c>
    </row>
    <row r="6" spans="1:12" ht="12.75" customHeight="1" x14ac:dyDescent="0.25">
      <c r="A6" s="445" t="s">
        <v>432</v>
      </c>
      <c r="B6" s="142"/>
      <c r="C6" s="37"/>
      <c r="D6" s="87"/>
      <c r="E6" s="86"/>
      <c r="F6" s="86"/>
      <c r="G6" s="86"/>
      <c r="H6" s="86"/>
      <c r="I6" s="86"/>
      <c r="J6" s="86"/>
      <c r="K6" s="228"/>
    </row>
    <row r="7" spans="1:12" ht="12.75" customHeight="1" x14ac:dyDescent="0.25">
      <c r="A7" s="36" t="s">
        <v>495</v>
      </c>
      <c r="B7" s="142"/>
      <c r="C7" s="526">
        <v>12720520.789999999</v>
      </c>
      <c r="D7" s="328">
        <v>13879502.960000001</v>
      </c>
      <c r="E7" s="329">
        <v>13879502.960000001</v>
      </c>
      <c r="F7" s="329">
        <v>1090885.28</v>
      </c>
      <c r="G7" s="329">
        <v>13357148.02</v>
      </c>
      <c r="H7" s="329">
        <f>E7/12*$L$1</f>
        <v>13879502.960000001</v>
      </c>
      <c r="I7" s="41">
        <f t="shared" ref="I7:I14" si="0">G7-H7</f>
        <v>-522354.94000000134</v>
      </c>
      <c r="J7" s="165">
        <f t="shared" ref="J7:J14" si="1">IF(I7=0,"",I7/H7)</f>
        <v>-3.7634988911735591E-2</v>
      </c>
      <c r="K7" s="517">
        <f>E7</f>
        <v>13879502.960000001</v>
      </c>
    </row>
    <row r="8" spans="1:12" ht="12.75" customHeight="1" x14ac:dyDescent="0.25">
      <c r="A8" s="36" t="s">
        <v>1063</v>
      </c>
      <c r="B8" s="142"/>
      <c r="C8" s="526">
        <v>1475921.05</v>
      </c>
      <c r="D8" s="328">
        <v>1541027</v>
      </c>
      <c r="E8" s="329">
        <v>1541027</v>
      </c>
      <c r="F8" s="329">
        <v>125777.94</v>
      </c>
      <c r="G8" s="329">
        <v>1524787.95</v>
      </c>
      <c r="H8" s="329">
        <f t="shared" ref="H8:H13" si="2">E8/12*$L$1</f>
        <v>1541027</v>
      </c>
      <c r="I8" s="41">
        <f t="shared" si="0"/>
        <v>-16239.050000000047</v>
      </c>
      <c r="J8" s="165">
        <f t="shared" si="1"/>
        <v>-1.0537810174643303E-2</v>
      </c>
      <c r="K8" s="517">
        <f t="shared" ref="K8:K13" si="3">E8</f>
        <v>1541027</v>
      </c>
    </row>
    <row r="9" spans="1:12" ht="12.75" customHeight="1" x14ac:dyDescent="0.25">
      <c r="A9" s="36" t="s">
        <v>433</v>
      </c>
      <c r="B9" s="142"/>
      <c r="C9" s="526">
        <v>181511.08000000002</v>
      </c>
      <c r="D9" s="328">
        <v>181049.03999999998</v>
      </c>
      <c r="E9" s="329">
        <v>181049.03999999998</v>
      </c>
      <c r="F9" s="329">
        <v>22574.519999999997</v>
      </c>
      <c r="G9" s="329">
        <v>241040.31</v>
      </c>
      <c r="H9" s="329">
        <f t="shared" si="2"/>
        <v>181049.03999999998</v>
      </c>
      <c r="I9" s="41">
        <f t="shared" si="0"/>
        <v>59991.270000000019</v>
      </c>
      <c r="J9" s="165">
        <f t="shared" si="1"/>
        <v>0.33135370394673191</v>
      </c>
      <c r="K9" s="517">
        <f t="shared" si="3"/>
        <v>181049.03999999998</v>
      </c>
    </row>
    <row r="10" spans="1:12" ht="12.75" customHeight="1" x14ac:dyDescent="0.25">
      <c r="A10" s="36" t="s">
        <v>1064</v>
      </c>
      <c r="B10" s="142"/>
      <c r="C10" s="526">
        <v>699147.88</v>
      </c>
      <c r="D10" s="328">
        <v>706980</v>
      </c>
      <c r="E10" s="329">
        <v>706980</v>
      </c>
      <c r="F10" s="329">
        <v>58359.68</v>
      </c>
      <c r="G10" s="329">
        <v>735519.73</v>
      </c>
      <c r="H10" s="329">
        <f t="shared" si="2"/>
        <v>706980</v>
      </c>
      <c r="I10" s="41">
        <f>G10-H10</f>
        <v>28539.729999999981</v>
      </c>
      <c r="J10" s="165">
        <f>IF(I10=0,"",I10/H10)</f>
        <v>4.0368511131856605E-2</v>
      </c>
      <c r="K10" s="517">
        <f t="shared" si="3"/>
        <v>706980</v>
      </c>
    </row>
    <row r="11" spans="1:12" ht="12.75" customHeight="1" x14ac:dyDescent="0.25">
      <c r="A11" s="36" t="s">
        <v>1065</v>
      </c>
      <c r="B11" s="142"/>
      <c r="C11" s="526">
        <v>1666680</v>
      </c>
      <c r="D11" s="328">
        <v>1672800</v>
      </c>
      <c r="E11" s="329">
        <v>1672800</v>
      </c>
      <c r="F11" s="329">
        <v>134245.16</v>
      </c>
      <c r="G11" s="329">
        <v>1658322.58</v>
      </c>
      <c r="H11" s="329">
        <f t="shared" si="2"/>
        <v>1672800</v>
      </c>
      <c r="I11" s="41">
        <f>G11-H11</f>
        <v>-14477.419999999925</v>
      </c>
      <c r="J11" s="165">
        <f>IF(I11=0,"",I11/H11)</f>
        <v>-8.6546030607364457E-3</v>
      </c>
      <c r="K11" s="517">
        <f t="shared" si="3"/>
        <v>1672800</v>
      </c>
    </row>
    <row r="12" spans="1:12" ht="12.75" customHeight="1" x14ac:dyDescent="0.25">
      <c r="A12" s="36" t="s">
        <v>1066</v>
      </c>
      <c r="B12" s="142"/>
      <c r="C12" s="526">
        <v>0</v>
      </c>
      <c r="D12" s="328">
        <v>0</v>
      </c>
      <c r="E12" s="329">
        <v>0</v>
      </c>
      <c r="F12" s="329">
        <v>0</v>
      </c>
      <c r="G12" s="329">
        <v>0</v>
      </c>
      <c r="H12" s="329">
        <f t="shared" si="2"/>
        <v>0</v>
      </c>
      <c r="I12" s="41">
        <f>G12-H12</f>
        <v>0</v>
      </c>
      <c r="J12" s="165" t="str">
        <f>IF(I12=0,"",I12/H12)</f>
        <v/>
      </c>
      <c r="K12" s="517">
        <f t="shared" si="3"/>
        <v>0</v>
      </c>
    </row>
    <row r="13" spans="1:12" ht="12.75" customHeight="1" x14ac:dyDescent="0.25">
      <c r="A13" s="36" t="s">
        <v>1067</v>
      </c>
      <c r="B13" s="142"/>
      <c r="C13" s="526">
        <v>147060</v>
      </c>
      <c r="D13" s="328">
        <v>147600</v>
      </c>
      <c r="E13" s="329">
        <v>147600</v>
      </c>
      <c r="F13" s="329">
        <v>11845.16</v>
      </c>
      <c r="G13" s="329">
        <v>146335.47999999998</v>
      </c>
      <c r="H13" s="329">
        <f t="shared" si="2"/>
        <v>147600</v>
      </c>
      <c r="I13" s="41">
        <f t="shared" si="0"/>
        <v>-1264.5200000000186</v>
      </c>
      <c r="J13" s="165">
        <f t="shared" si="1"/>
        <v>-8.5672086720868477E-3</v>
      </c>
      <c r="K13" s="517">
        <f t="shared" si="3"/>
        <v>147600</v>
      </c>
    </row>
    <row r="14" spans="1:12" ht="12.75" customHeight="1" x14ac:dyDescent="0.25">
      <c r="A14" s="77" t="s">
        <v>434</v>
      </c>
      <c r="B14" s="142"/>
      <c r="C14" s="406">
        <f t="shared" ref="C14:K14" si="4">SUM(C7:C13)</f>
        <v>16890840.800000001</v>
      </c>
      <c r="D14" s="380">
        <f t="shared" si="4"/>
        <v>18128959</v>
      </c>
      <c r="E14" s="356">
        <f t="shared" si="4"/>
        <v>18128959</v>
      </c>
      <c r="F14" s="356">
        <f t="shared" si="4"/>
        <v>1443687.7399999998</v>
      </c>
      <c r="G14" s="356">
        <f t="shared" si="4"/>
        <v>17663154.07</v>
      </c>
      <c r="H14" s="356">
        <f t="shared" si="4"/>
        <v>18128959</v>
      </c>
      <c r="I14" s="356">
        <f t="shared" si="0"/>
        <v>-465804.9299999997</v>
      </c>
      <c r="J14" s="357">
        <f t="shared" si="1"/>
        <v>-2.5693970072964461E-2</v>
      </c>
      <c r="K14" s="403">
        <f t="shared" si="4"/>
        <v>18128959</v>
      </c>
    </row>
    <row r="15" spans="1:12" ht="12.75" customHeight="1" x14ac:dyDescent="0.25">
      <c r="A15" s="88" t="s">
        <v>735</v>
      </c>
      <c r="B15" s="142">
        <v>4</v>
      </c>
      <c r="C15" s="144"/>
      <c r="D15" s="258">
        <f>IF(D14=0,"",(D14/C14)-1)</f>
        <v>7.3301158578203962E-2</v>
      </c>
      <c r="E15" s="258">
        <f>IF(E14=0,"",(E14/C14)-1)</f>
        <v>7.3301158578203962E-2</v>
      </c>
      <c r="F15" s="258"/>
      <c r="G15" s="258"/>
      <c r="H15" s="258"/>
      <c r="I15" s="258"/>
      <c r="J15" s="292"/>
      <c r="K15" s="267">
        <f>IF(K14=0,"",(K14/C14)-1)</f>
        <v>7.3301158578203962E-2</v>
      </c>
    </row>
    <row r="16" spans="1:12" ht="5.0999999999999996" customHeight="1" x14ac:dyDescent="0.25">
      <c r="A16" s="39"/>
      <c r="B16" s="142"/>
      <c r="C16" s="37"/>
      <c r="D16" s="87"/>
      <c r="E16" s="86"/>
      <c r="F16" s="86"/>
      <c r="G16" s="86"/>
      <c r="H16" s="86"/>
      <c r="I16" s="86"/>
      <c r="J16" s="165"/>
      <c r="K16" s="228"/>
    </row>
    <row r="17" spans="1:11" ht="12.75" customHeight="1" x14ac:dyDescent="0.25">
      <c r="A17" s="445" t="s">
        <v>517</v>
      </c>
      <c r="B17" s="142">
        <v>3</v>
      </c>
      <c r="C17" s="37"/>
      <c r="D17" s="87"/>
      <c r="E17" s="86"/>
      <c r="F17" s="86"/>
      <c r="G17" s="86"/>
      <c r="H17" s="86"/>
      <c r="I17" s="86"/>
      <c r="J17" s="165"/>
      <c r="K17" s="228"/>
    </row>
    <row r="18" spans="1:11" ht="12.75" customHeight="1" x14ac:dyDescent="0.25">
      <c r="A18" s="36" t="s">
        <v>495</v>
      </c>
      <c r="B18" s="142"/>
      <c r="C18" s="526">
        <v>5538678.7400000002</v>
      </c>
      <c r="D18" s="328">
        <v>5845678</v>
      </c>
      <c r="E18" s="329">
        <v>5845658</v>
      </c>
      <c r="F18" s="329">
        <v>560310.92000000004</v>
      </c>
      <c r="G18" s="329">
        <v>6507764.2400000002</v>
      </c>
      <c r="H18" s="329">
        <f t="shared" ref="H18:H29" si="5">E18/12*$L$1</f>
        <v>5845658</v>
      </c>
      <c r="I18" s="41">
        <f t="shared" ref="I18:I30" si="6">G18-H18</f>
        <v>662106.24000000022</v>
      </c>
      <c r="J18" s="165">
        <f t="shared" ref="J18:J29" si="7">IF(I18=0,"",I18/H18)</f>
        <v>0.11326462136512266</v>
      </c>
      <c r="K18" s="517">
        <f t="shared" ref="K18:K29" si="8">E18</f>
        <v>5845658</v>
      </c>
    </row>
    <row r="19" spans="1:11" ht="12.75" customHeight="1" x14ac:dyDescent="0.25">
      <c r="A19" s="36" t="s">
        <v>1063</v>
      </c>
      <c r="B19" s="142"/>
      <c r="C19" s="526">
        <v>556692.83999999985</v>
      </c>
      <c r="D19" s="328">
        <v>571834</v>
      </c>
      <c r="E19" s="329">
        <v>571834</v>
      </c>
      <c r="F19" s="329">
        <v>45978.19</v>
      </c>
      <c r="G19" s="329">
        <v>499928.63000000006</v>
      </c>
      <c r="H19" s="329">
        <f t="shared" si="5"/>
        <v>571834</v>
      </c>
      <c r="I19" s="41">
        <f t="shared" si="6"/>
        <v>-71905.369999999937</v>
      </c>
      <c r="J19" s="165">
        <f t="shared" si="7"/>
        <v>-0.12574518129387188</v>
      </c>
      <c r="K19" s="517">
        <f t="shared" si="8"/>
        <v>571834</v>
      </c>
    </row>
    <row r="20" spans="1:11" ht="12.75" customHeight="1" x14ac:dyDescent="0.25">
      <c r="A20" s="36" t="s">
        <v>433</v>
      </c>
      <c r="B20" s="142"/>
      <c r="C20" s="526">
        <v>133675.5</v>
      </c>
      <c r="D20" s="328">
        <v>137891</v>
      </c>
      <c r="E20" s="329">
        <v>137891</v>
      </c>
      <c r="F20" s="329">
        <v>6900.34</v>
      </c>
      <c r="G20" s="329">
        <v>104342.15</v>
      </c>
      <c r="H20" s="329">
        <f t="shared" si="5"/>
        <v>137891</v>
      </c>
      <c r="I20" s="41">
        <f t="shared" si="6"/>
        <v>-33548.850000000006</v>
      </c>
      <c r="J20" s="165">
        <f t="shared" si="7"/>
        <v>-0.24329978026122087</v>
      </c>
      <c r="K20" s="517">
        <f t="shared" si="8"/>
        <v>137891</v>
      </c>
    </row>
    <row r="21" spans="1:11" ht="12.75" customHeight="1" x14ac:dyDescent="0.25">
      <c r="A21" s="36" t="s">
        <v>550</v>
      </c>
      <c r="B21" s="142"/>
      <c r="C21" s="526">
        <v>0</v>
      </c>
      <c r="D21" s="328">
        <v>0</v>
      </c>
      <c r="E21" s="329">
        <v>0</v>
      </c>
      <c r="F21" s="329">
        <v>0</v>
      </c>
      <c r="G21" s="329">
        <v>0</v>
      </c>
      <c r="H21" s="329">
        <f t="shared" si="5"/>
        <v>0</v>
      </c>
      <c r="I21" s="41">
        <f t="shared" si="6"/>
        <v>0</v>
      </c>
      <c r="J21" s="165" t="str">
        <f t="shared" si="7"/>
        <v/>
      </c>
      <c r="K21" s="517">
        <f t="shared" si="8"/>
        <v>0</v>
      </c>
    </row>
    <row r="22" spans="1:11" ht="12.75" customHeight="1" x14ac:dyDescent="0.25">
      <c r="A22" s="36" t="s">
        <v>435</v>
      </c>
      <c r="B22" s="142"/>
      <c r="C22" s="526">
        <v>0</v>
      </c>
      <c r="D22" s="328">
        <v>0</v>
      </c>
      <c r="E22" s="329">
        <v>0</v>
      </c>
      <c r="F22" s="329">
        <v>0</v>
      </c>
      <c r="G22" s="329">
        <v>0</v>
      </c>
      <c r="H22" s="329">
        <f t="shared" si="5"/>
        <v>0</v>
      </c>
      <c r="I22" s="41">
        <f>G22-H22</f>
        <v>0</v>
      </c>
      <c r="J22" s="165" t="str">
        <f>IF(I22=0,"",I22/H22)</f>
        <v/>
      </c>
      <c r="K22" s="517">
        <f t="shared" si="8"/>
        <v>0</v>
      </c>
    </row>
    <row r="23" spans="1:11" ht="12.75" customHeight="1" x14ac:dyDescent="0.25">
      <c r="A23" s="36" t="s">
        <v>1064</v>
      </c>
      <c r="B23" s="142"/>
      <c r="C23" s="526">
        <v>739550.79</v>
      </c>
      <c r="D23" s="328">
        <v>765873.24</v>
      </c>
      <c r="E23" s="329">
        <v>673026</v>
      </c>
      <c r="F23" s="329">
        <v>68046.66</v>
      </c>
      <c r="G23" s="329">
        <v>839515.51</v>
      </c>
      <c r="H23" s="329">
        <f t="shared" si="5"/>
        <v>673026</v>
      </c>
      <c r="I23" s="41">
        <f>G23-H23</f>
        <v>166489.51</v>
      </c>
      <c r="J23" s="165">
        <f>IF(I23=0,"",I23/H23)</f>
        <v>0.24737455908092706</v>
      </c>
      <c r="K23" s="517">
        <f t="shared" si="8"/>
        <v>673026</v>
      </c>
    </row>
    <row r="24" spans="1:11" ht="12.75" customHeight="1" x14ac:dyDescent="0.25">
      <c r="A24" s="36" t="s">
        <v>1065</v>
      </c>
      <c r="B24" s="142"/>
      <c r="C24" s="526">
        <v>204000</v>
      </c>
      <c r="D24" s="328">
        <v>204000</v>
      </c>
      <c r="E24" s="329">
        <v>163200</v>
      </c>
      <c r="F24" s="329">
        <v>18690</v>
      </c>
      <c r="G24" s="329">
        <v>214856</v>
      </c>
      <c r="H24" s="329">
        <f t="shared" si="5"/>
        <v>163200</v>
      </c>
      <c r="I24" s="41">
        <f>G24-H24</f>
        <v>51656</v>
      </c>
      <c r="J24" s="165">
        <f>IF(I24=0,"",I24/H24)</f>
        <v>0.31651960784313726</v>
      </c>
      <c r="K24" s="517">
        <f t="shared" si="8"/>
        <v>163200</v>
      </c>
    </row>
    <row r="25" spans="1:11" ht="12.75" customHeight="1" x14ac:dyDescent="0.25">
      <c r="A25" s="36" t="s">
        <v>1066</v>
      </c>
      <c r="B25" s="142"/>
      <c r="C25" s="526">
        <v>0</v>
      </c>
      <c r="D25" s="328">
        <v>0</v>
      </c>
      <c r="E25" s="329">
        <v>0</v>
      </c>
      <c r="F25" s="329">
        <v>0</v>
      </c>
      <c r="G25" s="329">
        <v>0</v>
      </c>
      <c r="H25" s="329">
        <f t="shared" si="5"/>
        <v>0</v>
      </c>
      <c r="I25" s="41">
        <f>G25-H25</f>
        <v>0</v>
      </c>
      <c r="J25" s="165" t="str">
        <f>IF(I25=0,"",I25/H25)</f>
        <v/>
      </c>
      <c r="K25" s="517">
        <f t="shared" si="8"/>
        <v>0</v>
      </c>
    </row>
    <row r="26" spans="1:11" ht="12.75" customHeight="1" x14ac:dyDescent="0.25">
      <c r="A26" s="36" t="s">
        <v>1067</v>
      </c>
      <c r="B26" s="142"/>
      <c r="C26" s="526">
        <v>64196.04</v>
      </c>
      <c r="D26" s="328">
        <v>65517</v>
      </c>
      <c r="E26" s="329">
        <v>163118</v>
      </c>
      <c r="F26" s="329">
        <v>5286.51</v>
      </c>
      <c r="G26" s="329">
        <v>106289.45</v>
      </c>
      <c r="H26" s="329">
        <f t="shared" si="5"/>
        <v>163118</v>
      </c>
      <c r="I26" s="41">
        <f t="shared" si="6"/>
        <v>-56828.55</v>
      </c>
      <c r="J26" s="165">
        <f t="shared" si="7"/>
        <v>-0.34838920290832404</v>
      </c>
      <c r="K26" s="517">
        <f t="shared" si="8"/>
        <v>163118</v>
      </c>
    </row>
    <row r="27" spans="1:11" ht="12.75" customHeight="1" x14ac:dyDescent="0.25">
      <c r="A27" s="36" t="s">
        <v>1068</v>
      </c>
      <c r="B27" s="142"/>
      <c r="C27" s="526">
        <v>0</v>
      </c>
      <c r="D27" s="328">
        <v>0</v>
      </c>
      <c r="E27" s="329">
        <v>40800</v>
      </c>
      <c r="F27" s="329">
        <v>0</v>
      </c>
      <c r="G27" s="329">
        <v>0</v>
      </c>
      <c r="H27" s="329">
        <f t="shared" si="5"/>
        <v>40800</v>
      </c>
      <c r="I27" s="41">
        <f t="shared" si="6"/>
        <v>-40800</v>
      </c>
      <c r="J27" s="165">
        <f t="shared" si="7"/>
        <v>-1</v>
      </c>
      <c r="K27" s="517">
        <f t="shared" si="8"/>
        <v>40800</v>
      </c>
    </row>
    <row r="28" spans="1:11" ht="12.75" customHeight="1" x14ac:dyDescent="0.25">
      <c r="A28" s="36" t="s">
        <v>1069</v>
      </c>
      <c r="B28" s="142"/>
      <c r="C28" s="526">
        <v>0</v>
      </c>
      <c r="D28" s="328">
        <v>0</v>
      </c>
      <c r="E28" s="329">
        <v>0</v>
      </c>
      <c r="F28" s="329">
        <v>0</v>
      </c>
      <c r="G28" s="329">
        <v>0</v>
      </c>
      <c r="H28" s="329">
        <f t="shared" si="5"/>
        <v>0</v>
      </c>
      <c r="I28" s="41">
        <f t="shared" si="6"/>
        <v>0</v>
      </c>
      <c r="J28" s="165" t="str">
        <f t="shared" si="7"/>
        <v/>
      </c>
      <c r="K28" s="517">
        <f t="shared" si="8"/>
        <v>0</v>
      </c>
    </row>
    <row r="29" spans="1:11" ht="12.75" customHeight="1" x14ac:dyDescent="0.25">
      <c r="A29" s="36" t="s">
        <v>1070</v>
      </c>
      <c r="B29" s="142">
        <v>2</v>
      </c>
      <c r="C29" s="526">
        <v>0</v>
      </c>
      <c r="D29" s="328">
        <v>0</v>
      </c>
      <c r="E29" s="329">
        <v>0</v>
      </c>
      <c r="F29" s="329">
        <v>0</v>
      </c>
      <c r="G29" s="329">
        <v>0</v>
      </c>
      <c r="H29" s="329">
        <f t="shared" si="5"/>
        <v>0</v>
      </c>
      <c r="I29" s="41">
        <f t="shared" si="6"/>
        <v>0</v>
      </c>
      <c r="J29" s="165" t="str">
        <f t="shared" si="7"/>
        <v/>
      </c>
      <c r="K29" s="517">
        <f t="shared" si="8"/>
        <v>0</v>
      </c>
    </row>
    <row r="30" spans="1:11" ht="12.75" customHeight="1" x14ac:dyDescent="0.25">
      <c r="A30" s="77" t="s">
        <v>436</v>
      </c>
      <c r="B30" s="142"/>
      <c r="C30" s="406">
        <f t="shared" ref="C30:K30" si="9">SUM(C18:C29)</f>
        <v>7236793.9100000001</v>
      </c>
      <c r="D30" s="380">
        <f t="shared" si="9"/>
        <v>7590793.2400000002</v>
      </c>
      <c r="E30" s="356">
        <f t="shared" si="9"/>
        <v>7595527</v>
      </c>
      <c r="F30" s="356">
        <f>SUM(F18:F29)</f>
        <v>705212.62000000011</v>
      </c>
      <c r="G30" s="356">
        <f>SUM(G18:G29)</f>
        <v>8272695.9800000004</v>
      </c>
      <c r="H30" s="356">
        <f>SUM(H18:H29)</f>
        <v>7595527</v>
      </c>
      <c r="I30" s="356">
        <f t="shared" si="6"/>
        <v>677168.98000000045</v>
      </c>
      <c r="J30" s="357">
        <f>IF(I30=0,"",I30/H30)</f>
        <v>8.91536531961509E-2</v>
      </c>
      <c r="K30" s="403">
        <f t="shared" si="9"/>
        <v>7595527</v>
      </c>
    </row>
    <row r="31" spans="1:11" ht="12.75" customHeight="1" x14ac:dyDescent="0.25">
      <c r="A31" s="88" t="s">
        <v>735</v>
      </c>
      <c r="B31" s="142">
        <v>4</v>
      </c>
      <c r="C31" s="144"/>
      <c r="D31" s="258">
        <f>IF(D30=0,"",(D30/C30)-1)</f>
        <v>4.8916596824849945E-2</v>
      </c>
      <c r="E31" s="258">
        <f>IF(E30=0,"",(E30/C30)-1)</f>
        <v>4.9570720744761321E-2</v>
      </c>
      <c r="F31" s="258"/>
      <c r="G31" s="258"/>
      <c r="H31" s="258"/>
      <c r="I31" s="258"/>
      <c r="J31" s="292"/>
      <c r="K31" s="267">
        <f>IF(K30=0,"",(K30/C30)-1)</f>
        <v>4.9570720744761321E-2</v>
      </c>
    </row>
    <row r="32" spans="1:11" ht="5.0999999999999996" customHeight="1" x14ac:dyDescent="0.25">
      <c r="A32" s="39"/>
      <c r="B32" s="142"/>
      <c r="C32" s="37"/>
      <c r="D32" s="87"/>
      <c r="E32" s="86"/>
      <c r="F32" s="86"/>
      <c r="G32" s="86"/>
      <c r="H32" s="86"/>
      <c r="I32" s="86"/>
      <c r="J32" s="165"/>
      <c r="K32" s="228"/>
    </row>
    <row r="33" spans="1:11" ht="12.75" customHeight="1" x14ac:dyDescent="0.25">
      <c r="A33" s="445" t="s">
        <v>437</v>
      </c>
      <c r="B33" s="142"/>
      <c r="C33" s="37"/>
      <c r="D33" s="87"/>
      <c r="E33" s="86"/>
      <c r="F33" s="86"/>
      <c r="G33" s="86"/>
      <c r="H33" s="86"/>
      <c r="I33" s="86"/>
      <c r="J33" s="165"/>
      <c r="K33" s="228"/>
    </row>
    <row r="34" spans="1:11" ht="12.75" customHeight="1" x14ac:dyDescent="0.25">
      <c r="A34" s="36" t="s">
        <v>495</v>
      </c>
      <c r="B34" s="142"/>
      <c r="C34" s="526">
        <v>147341208.32999995</v>
      </c>
      <c r="D34" s="328">
        <v>188979900.86399996</v>
      </c>
      <c r="E34" s="329">
        <v>172434917.99999997</v>
      </c>
      <c r="F34" s="329">
        <v>13622230.57</v>
      </c>
      <c r="G34" s="329">
        <v>163521984.58999994</v>
      </c>
      <c r="H34" s="329">
        <f t="shared" ref="H34:H45" si="10">E34/12*$L$1</f>
        <v>172434917.99999997</v>
      </c>
      <c r="I34" s="41">
        <f t="shared" ref="I34:I46" si="11">G34-H34</f>
        <v>-8912933.4100000262</v>
      </c>
      <c r="J34" s="165">
        <f t="shared" ref="J34:J45" si="12">IF(I34=0,"",I34/H34)</f>
        <v>-5.1688680653416308E-2</v>
      </c>
      <c r="K34" s="517">
        <f t="shared" ref="K34:K45" si="13">E34</f>
        <v>172434917.99999997</v>
      </c>
    </row>
    <row r="35" spans="1:11" ht="12.75" customHeight="1" x14ac:dyDescent="0.25">
      <c r="A35" s="36" t="s">
        <v>1063</v>
      </c>
      <c r="B35" s="142"/>
      <c r="C35" s="526">
        <v>28196190.990000017</v>
      </c>
      <c r="D35" s="328">
        <v>35552767</v>
      </c>
      <c r="E35" s="329">
        <v>32898747</v>
      </c>
      <c r="F35" s="329">
        <v>2586899.0100000007</v>
      </c>
      <c r="G35" s="329">
        <v>31101199.260000002</v>
      </c>
      <c r="H35" s="329">
        <f t="shared" si="10"/>
        <v>32898747</v>
      </c>
      <c r="I35" s="41">
        <f t="shared" si="11"/>
        <v>-1797547.7399999984</v>
      </c>
      <c r="J35" s="165">
        <f t="shared" si="12"/>
        <v>-5.4638790346635338E-2</v>
      </c>
      <c r="K35" s="517">
        <f t="shared" si="13"/>
        <v>32898747</v>
      </c>
    </row>
    <row r="36" spans="1:11" ht="12.75" customHeight="1" x14ac:dyDescent="0.25">
      <c r="A36" s="36" t="s">
        <v>433</v>
      </c>
      <c r="B36" s="142"/>
      <c r="C36" s="526">
        <v>15484578.930000003</v>
      </c>
      <c r="D36" s="328">
        <v>21316760</v>
      </c>
      <c r="E36" s="329">
        <v>18640302</v>
      </c>
      <c r="F36" s="329">
        <v>1466395.5499999996</v>
      </c>
      <c r="G36" s="329">
        <v>17122554.32</v>
      </c>
      <c r="H36" s="329">
        <f t="shared" si="10"/>
        <v>18640302</v>
      </c>
      <c r="I36" s="41">
        <f t="shared" si="11"/>
        <v>-1517747.6799999997</v>
      </c>
      <c r="J36" s="165">
        <f t="shared" si="12"/>
        <v>-8.1422912568691205E-2</v>
      </c>
      <c r="K36" s="517">
        <f t="shared" si="13"/>
        <v>18640302</v>
      </c>
    </row>
    <row r="37" spans="1:11" ht="12.75" customHeight="1" x14ac:dyDescent="0.25">
      <c r="A37" s="36" t="s">
        <v>550</v>
      </c>
      <c r="B37" s="142"/>
      <c r="C37" s="526">
        <v>18187750.899999999</v>
      </c>
      <c r="D37" s="328">
        <v>12982121</v>
      </c>
      <c r="E37" s="329">
        <v>16086748</v>
      </c>
      <c r="F37" s="329">
        <v>1607270.8800000001</v>
      </c>
      <c r="G37" s="329">
        <v>18368899.09</v>
      </c>
      <c r="H37" s="329">
        <f t="shared" si="10"/>
        <v>16086748</v>
      </c>
      <c r="I37" s="41">
        <f t="shared" si="11"/>
        <v>2282151.09</v>
      </c>
      <c r="J37" s="165">
        <f t="shared" si="12"/>
        <v>0.14186528501596468</v>
      </c>
      <c r="K37" s="517">
        <f t="shared" si="13"/>
        <v>16086748</v>
      </c>
    </row>
    <row r="38" spans="1:11" ht="12.75" customHeight="1" x14ac:dyDescent="0.25">
      <c r="A38" s="36" t="s">
        <v>435</v>
      </c>
      <c r="B38" s="142"/>
      <c r="C38" s="526">
        <v>0</v>
      </c>
      <c r="D38" s="328">
        <v>0</v>
      </c>
      <c r="E38" s="329">
        <v>0</v>
      </c>
      <c r="F38" s="329">
        <v>0</v>
      </c>
      <c r="G38" s="329">
        <v>0</v>
      </c>
      <c r="H38" s="329">
        <f t="shared" si="10"/>
        <v>0</v>
      </c>
      <c r="I38" s="41">
        <f t="shared" si="11"/>
        <v>0</v>
      </c>
      <c r="J38" s="165" t="str">
        <f t="shared" si="12"/>
        <v/>
      </c>
      <c r="K38" s="517">
        <f t="shared" si="13"/>
        <v>0</v>
      </c>
    </row>
    <row r="39" spans="1:11" ht="12.75" customHeight="1" x14ac:dyDescent="0.25">
      <c r="A39" s="36" t="s">
        <v>1064</v>
      </c>
      <c r="B39" s="142"/>
      <c r="C39" s="526">
        <v>6794124.8499999996</v>
      </c>
      <c r="D39" s="328">
        <v>7776326.8959999997</v>
      </c>
      <c r="E39" s="329">
        <v>7140907</v>
      </c>
      <c r="F39" s="329">
        <v>589252.51</v>
      </c>
      <c r="G39" s="329">
        <v>7052543.4100000001</v>
      </c>
      <c r="H39" s="329">
        <f t="shared" si="10"/>
        <v>7140907</v>
      </c>
      <c r="I39" s="41">
        <f>G39-H39</f>
        <v>-88363.589999999851</v>
      </c>
      <c r="J39" s="165">
        <f>IF(I39=0,"",I39/H39)</f>
        <v>-1.2374281026205754E-2</v>
      </c>
      <c r="K39" s="517">
        <f t="shared" si="13"/>
        <v>7140907</v>
      </c>
    </row>
    <row r="40" spans="1:11" ht="12.75" customHeight="1" x14ac:dyDescent="0.25">
      <c r="A40" s="36" t="s">
        <v>1065</v>
      </c>
      <c r="B40" s="142"/>
      <c r="C40" s="526">
        <v>1253571.2499999998</v>
      </c>
      <c r="D40" s="328">
        <v>898200</v>
      </c>
      <c r="E40" s="329">
        <v>1180340</v>
      </c>
      <c r="F40" s="329">
        <v>125126.95000000001</v>
      </c>
      <c r="G40" s="329">
        <v>1423348.45</v>
      </c>
      <c r="H40" s="329">
        <f t="shared" si="10"/>
        <v>1180340</v>
      </c>
      <c r="I40" s="41">
        <f>G40-H40</f>
        <v>243008.44999999995</v>
      </c>
      <c r="J40" s="165">
        <f>IF(I40=0,"",I40/H40)</f>
        <v>0.20588004303844651</v>
      </c>
      <c r="K40" s="517">
        <f t="shared" si="13"/>
        <v>1180340</v>
      </c>
    </row>
    <row r="41" spans="1:11" ht="12.75" customHeight="1" x14ac:dyDescent="0.25">
      <c r="A41" s="36" t="s">
        <v>1066</v>
      </c>
      <c r="B41" s="142"/>
      <c r="C41" s="526">
        <v>1527987.98</v>
      </c>
      <c r="D41" s="328">
        <v>3256756</v>
      </c>
      <c r="E41" s="329">
        <v>2844997</v>
      </c>
      <c r="F41" s="329">
        <v>162432.53999999998</v>
      </c>
      <c r="G41" s="329">
        <v>1973434.7699999993</v>
      </c>
      <c r="H41" s="329">
        <f t="shared" si="10"/>
        <v>2844997</v>
      </c>
      <c r="I41" s="41">
        <f>G41-H41</f>
        <v>-871562.23000000068</v>
      </c>
      <c r="J41" s="165">
        <f>IF(I41=0,"",I41/H41)</f>
        <v>-0.30634908578111003</v>
      </c>
      <c r="K41" s="517">
        <f t="shared" si="13"/>
        <v>2844997</v>
      </c>
    </row>
    <row r="42" spans="1:11" ht="12.75" customHeight="1" x14ac:dyDescent="0.25">
      <c r="A42" s="36" t="s">
        <v>1067</v>
      </c>
      <c r="B42" s="142"/>
      <c r="C42" s="526">
        <v>20857363.490000002</v>
      </c>
      <c r="D42" s="328">
        <v>25987157</v>
      </c>
      <c r="E42" s="329">
        <v>16888788.999999989</v>
      </c>
      <c r="F42" s="329">
        <v>2398020.2800000003</v>
      </c>
      <c r="G42" s="329">
        <v>21938608.48</v>
      </c>
      <c r="H42" s="329">
        <f t="shared" si="10"/>
        <v>16888788.999999989</v>
      </c>
      <c r="I42" s="41">
        <f t="shared" si="11"/>
        <v>5049819.4800000116</v>
      </c>
      <c r="J42" s="165">
        <f t="shared" si="12"/>
        <v>0.29900423766322232</v>
      </c>
      <c r="K42" s="517">
        <f t="shared" si="13"/>
        <v>16888788.999999989</v>
      </c>
    </row>
    <row r="43" spans="1:11" ht="12.75" customHeight="1" x14ac:dyDescent="0.25">
      <c r="A43" s="36" t="s">
        <v>1068</v>
      </c>
      <c r="B43" s="142"/>
      <c r="C43" s="526">
        <v>0</v>
      </c>
      <c r="D43" s="328">
        <v>0</v>
      </c>
      <c r="E43" s="329">
        <v>0</v>
      </c>
      <c r="F43" s="329">
        <v>0</v>
      </c>
      <c r="G43" s="329">
        <v>0</v>
      </c>
      <c r="H43" s="329">
        <f t="shared" si="10"/>
        <v>0</v>
      </c>
      <c r="I43" s="41">
        <f t="shared" si="11"/>
        <v>0</v>
      </c>
      <c r="J43" s="165" t="str">
        <f t="shared" si="12"/>
        <v/>
      </c>
      <c r="K43" s="517">
        <f t="shared" si="13"/>
        <v>0</v>
      </c>
    </row>
    <row r="44" spans="1:11" ht="12.75" customHeight="1" x14ac:dyDescent="0.25">
      <c r="A44" s="36" t="s">
        <v>1069</v>
      </c>
      <c r="B44" s="142"/>
      <c r="C44" s="526">
        <v>0</v>
      </c>
      <c r="D44" s="328">
        <v>0</v>
      </c>
      <c r="E44" s="329">
        <v>0</v>
      </c>
      <c r="F44" s="329">
        <v>0</v>
      </c>
      <c r="G44" s="329">
        <v>0</v>
      </c>
      <c r="H44" s="329">
        <f t="shared" si="10"/>
        <v>0</v>
      </c>
      <c r="I44" s="41">
        <f t="shared" si="11"/>
        <v>0</v>
      </c>
      <c r="J44" s="165" t="str">
        <f t="shared" si="12"/>
        <v/>
      </c>
      <c r="K44" s="517">
        <f t="shared" si="13"/>
        <v>0</v>
      </c>
    </row>
    <row r="45" spans="1:11" ht="12.75" customHeight="1" x14ac:dyDescent="0.25">
      <c r="A45" s="36" t="s">
        <v>1070</v>
      </c>
      <c r="B45" s="142">
        <v>2</v>
      </c>
      <c r="C45" s="526">
        <v>5795780.2999999998</v>
      </c>
      <c r="D45" s="328">
        <v>6295741</v>
      </c>
      <c r="E45" s="329">
        <v>6307800</v>
      </c>
      <c r="F45" s="329">
        <v>503505.3</v>
      </c>
      <c r="G45" s="329">
        <v>5851928.9000000004</v>
      </c>
      <c r="H45" s="329">
        <f t="shared" si="10"/>
        <v>6307800</v>
      </c>
      <c r="I45" s="41">
        <f t="shared" si="11"/>
        <v>-455871.09999999963</v>
      </c>
      <c r="J45" s="165">
        <f t="shared" si="12"/>
        <v>-7.227101366562029E-2</v>
      </c>
      <c r="K45" s="517">
        <f t="shared" si="13"/>
        <v>6307800</v>
      </c>
    </row>
    <row r="46" spans="1:11" ht="12.75" customHeight="1" x14ac:dyDescent="0.25">
      <c r="A46" s="77" t="s">
        <v>438</v>
      </c>
      <c r="B46" s="142"/>
      <c r="C46" s="406">
        <f t="shared" ref="C46:K46" si="14">SUM(C34:C45)</f>
        <v>245438557.01999998</v>
      </c>
      <c r="D46" s="380">
        <f t="shared" si="14"/>
        <v>303045729.75999999</v>
      </c>
      <c r="E46" s="356">
        <f t="shared" si="14"/>
        <v>274423548</v>
      </c>
      <c r="F46" s="356">
        <f>SUM(F34:F45)</f>
        <v>23061133.590000004</v>
      </c>
      <c r="G46" s="356">
        <f>SUM(G34:G45)</f>
        <v>268354501.26999992</v>
      </c>
      <c r="H46" s="356">
        <f>SUM(H34:H45)</f>
        <v>274423548</v>
      </c>
      <c r="I46" s="356">
        <f t="shared" si="11"/>
        <v>-6069046.7300000787</v>
      </c>
      <c r="J46" s="357">
        <f>IF(I46=0,"",I46/H46)</f>
        <v>-2.2115619356397501E-2</v>
      </c>
      <c r="K46" s="403">
        <f t="shared" si="14"/>
        <v>274423548</v>
      </c>
    </row>
    <row r="47" spans="1:11" ht="12.75" customHeight="1" x14ac:dyDescent="0.25">
      <c r="A47" s="88" t="s">
        <v>735</v>
      </c>
      <c r="B47" s="142">
        <v>4</v>
      </c>
      <c r="C47" s="335"/>
      <c r="D47" s="258">
        <f>IF(D46=0,"",(D46/C46)-1)</f>
        <v>0.23471117757307303</v>
      </c>
      <c r="E47" s="258">
        <f>IF(E46=0,"",(E46/C46)-1)</f>
        <v>0.1180946927488582</v>
      </c>
      <c r="F47" s="258"/>
      <c r="G47" s="258"/>
      <c r="H47" s="258"/>
      <c r="I47" s="337"/>
      <c r="J47" s="339"/>
      <c r="K47" s="267">
        <f>IF(K46=0,"",(K46/C46)-1)</f>
        <v>0.1180946927488582</v>
      </c>
    </row>
    <row r="48" spans="1:11" ht="5.0999999999999996" customHeight="1" x14ac:dyDescent="0.25">
      <c r="A48" s="39"/>
      <c r="B48" s="142"/>
      <c r="C48" s="336"/>
      <c r="D48" s="87"/>
      <c r="E48" s="86"/>
      <c r="F48" s="86"/>
      <c r="G48" s="86"/>
      <c r="H48" s="86"/>
      <c r="I48" s="338"/>
      <c r="J48" s="340"/>
      <c r="K48" s="228"/>
    </row>
    <row r="49" spans="1:11" ht="12.75" customHeight="1" x14ac:dyDescent="0.25">
      <c r="A49" s="81" t="s">
        <v>457</v>
      </c>
      <c r="B49" s="196"/>
      <c r="C49" s="206">
        <f>C14+C30+C46</f>
        <v>269566191.72999996</v>
      </c>
      <c r="D49" s="66">
        <f t="shared" ref="D49:K49" si="15">D14+D30+D46</f>
        <v>328765482</v>
      </c>
      <c r="E49" s="65">
        <f t="shared" si="15"/>
        <v>300148034</v>
      </c>
      <c r="F49" s="65">
        <f t="shared" si="15"/>
        <v>25210033.950000003</v>
      </c>
      <c r="G49" s="65">
        <f t="shared" si="15"/>
        <v>294290351.31999993</v>
      </c>
      <c r="H49" s="65">
        <f t="shared" si="15"/>
        <v>300148034</v>
      </c>
      <c r="I49" s="65">
        <f>G49-H49</f>
        <v>-5857682.6800000668</v>
      </c>
      <c r="J49" s="280">
        <f>IF(I49=0,"",I49/H49)</f>
        <v>-1.9515978838628899E-2</v>
      </c>
      <c r="K49" s="120">
        <f t="shared" si="15"/>
        <v>300148034</v>
      </c>
    </row>
    <row r="50" spans="1:11" ht="5.0999999999999996" hidden="1" customHeight="1" x14ac:dyDescent="0.25">
      <c r="A50" s="39"/>
      <c r="B50" s="142"/>
      <c r="C50" s="144"/>
      <c r="D50" s="258">
        <f>IF(D49=0,"",(D49/C49)-1)</f>
        <v>0.219609476581895</v>
      </c>
      <c r="E50" s="258">
        <f>IF(E49=0,"",(E49/C49)-1)</f>
        <v>0.1134483596542073</v>
      </c>
      <c r="F50" s="258"/>
      <c r="G50" s="258"/>
      <c r="H50" s="258"/>
      <c r="I50" s="258"/>
      <c r="J50" s="292"/>
      <c r="K50" s="267">
        <f>IF(K49=0,"",(K49/C49)-1)</f>
        <v>0.1134483596542073</v>
      </c>
    </row>
    <row r="51" spans="1:11" ht="12.75" hidden="1" customHeight="1" x14ac:dyDescent="0.25">
      <c r="A51" s="297" t="s">
        <v>895</v>
      </c>
      <c r="B51" s="211"/>
      <c r="C51" s="298"/>
      <c r="D51" s="299"/>
      <c r="E51" s="300"/>
      <c r="F51" s="300"/>
      <c r="G51" s="300"/>
      <c r="H51" s="300"/>
      <c r="I51" s="300"/>
      <c r="J51" s="300"/>
      <c r="K51" s="301"/>
    </row>
    <row r="52" spans="1:11" ht="5.0999999999999996" hidden="1" customHeight="1" x14ac:dyDescent="0.25">
      <c r="A52" s="39"/>
      <c r="B52" s="142"/>
      <c r="C52" s="144"/>
      <c r="D52" s="265"/>
      <c r="E52" s="121"/>
      <c r="F52" s="121"/>
      <c r="G52" s="121"/>
      <c r="H52" s="121"/>
      <c r="I52" s="121"/>
      <c r="J52" s="121"/>
      <c r="K52" s="266"/>
    </row>
    <row r="53" spans="1:11" ht="12.75" hidden="1" customHeight="1" x14ac:dyDescent="0.25">
      <c r="A53" s="445" t="s">
        <v>567</v>
      </c>
      <c r="B53" s="142"/>
      <c r="C53" s="37"/>
      <c r="D53" s="87"/>
      <c r="E53" s="86"/>
      <c r="F53" s="86"/>
      <c r="G53" s="86"/>
      <c r="H53" s="86"/>
      <c r="I53" s="86"/>
      <c r="J53" s="165"/>
      <c r="K53" s="228"/>
    </row>
    <row r="54" spans="1:11" ht="12.75" hidden="1" customHeight="1" x14ac:dyDescent="0.25">
      <c r="A54" s="36" t="s">
        <v>495</v>
      </c>
      <c r="B54" s="142"/>
      <c r="C54" s="526"/>
      <c r="D54" s="328"/>
      <c r="E54" s="329"/>
      <c r="F54" s="329"/>
      <c r="G54" s="329"/>
      <c r="H54" s="329"/>
      <c r="I54" s="41">
        <f t="shared" ref="I54:I67" si="16">G54-H54</f>
        <v>0</v>
      </c>
      <c r="J54" s="165" t="str">
        <f t="shared" ref="J54:J66" si="17">IF(I54=0,"",I54/H54)</f>
        <v/>
      </c>
      <c r="K54" s="517"/>
    </row>
    <row r="55" spans="1:11" ht="12.75" hidden="1" customHeight="1" x14ac:dyDescent="0.25">
      <c r="A55" s="36" t="s">
        <v>1063</v>
      </c>
      <c r="B55" s="142"/>
      <c r="C55" s="526"/>
      <c r="D55" s="328"/>
      <c r="E55" s="329"/>
      <c r="F55" s="329"/>
      <c r="G55" s="329"/>
      <c r="H55" s="329"/>
      <c r="I55" s="41">
        <f t="shared" si="16"/>
        <v>0</v>
      </c>
      <c r="J55" s="165" t="str">
        <f t="shared" si="17"/>
        <v/>
      </c>
      <c r="K55" s="517"/>
    </row>
    <row r="56" spans="1:11" ht="12.75" hidden="1" customHeight="1" x14ac:dyDescent="0.25">
      <c r="A56" s="36" t="s">
        <v>433</v>
      </c>
      <c r="B56" s="142"/>
      <c r="C56" s="526"/>
      <c r="D56" s="328"/>
      <c r="E56" s="329"/>
      <c r="F56" s="329"/>
      <c r="G56" s="329"/>
      <c r="H56" s="329"/>
      <c r="I56" s="41">
        <f t="shared" si="16"/>
        <v>0</v>
      </c>
      <c r="J56" s="165" t="str">
        <f t="shared" si="17"/>
        <v/>
      </c>
      <c r="K56" s="517"/>
    </row>
    <row r="57" spans="1:11" ht="12.75" hidden="1" customHeight="1" x14ac:dyDescent="0.25">
      <c r="A57" s="36" t="s">
        <v>550</v>
      </c>
      <c r="B57" s="142"/>
      <c r="C57" s="526"/>
      <c r="D57" s="328"/>
      <c r="E57" s="329"/>
      <c r="F57" s="329"/>
      <c r="G57" s="329"/>
      <c r="H57" s="329"/>
      <c r="I57" s="41">
        <f>G57-H57</f>
        <v>0</v>
      </c>
      <c r="J57" s="165" t="str">
        <f>IF(I57=0,"",I57/H57)</f>
        <v/>
      </c>
      <c r="K57" s="517"/>
    </row>
    <row r="58" spans="1:11" ht="12.75" hidden="1" customHeight="1" x14ac:dyDescent="0.25">
      <c r="A58" s="36" t="s">
        <v>435</v>
      </c>
      <c r="B58" s="142"/>
      <c r="C58" s="526"/>
      <c r="D58" s="328"/>
      <c r="E58" s="329"/>
      <c r="F58" s="329"/>
      <c r="G58" s="329"/>
      <c r="H58" s="329"/>
      <c r="I58" s="41">
        <f>G58-H58</f>
        <v>0</v>
      </c>
      <c r="J58" s="165" t="str">
        <f>IF(I58=0,"",I58/H58)</f>
        <v/>
      </c>
      <c r="K58" s="517"/>
    </row>
    <row r="59" spans="1:11" ht="12.75" hidden="1" customHeight="1" x14ac:dyDescent="0.25">
      <c r="A59" s="36" t="s">
        <v>1064</v>
      </c>
      <c r="B59" s="142"/>
      <c r="C59" s="526"/>
      <c r="D59" s="328"/>
      <c r="E59" s="329"/>
      <c r="F59" s="329"/>
      <c r="G59" s="329"/>
      <c r="H59" s="329"/>
      <c r="I59" s="41">
        <f>G59-H59</f>
        <v>0</v>
      </c>
      <c r="J59" s="165" t="str">
        <f>IF(I59=0,"",I59/H59)</f>
        <v/>
      </c>
      <c r="K59" s="517"/>
    </row>
    <row r="60" spans="1:11" ht="12.75" hidden="1" customHeight="1" x14ac:dyDescent="0.25">
      <c r="A60" s="36" t="s">
        <v>1065</v>
      </c>
      <c r="B60" s="142"/>
      <c r="C60" s="526"/>
      <c r="D60" s="328"/>
      <c r="E60" s="329"/>
      <c r="F60" s="329"/>
      <c r="G60" s="329"/>
      <c r="H60" s="329"/>
      <c r="I60" s="41">
        <f>G60-H60</f>
        <v>0</v>
      </c>
      <c r="J60" s="165" t="str">
        <f>IF(I60=0,"",I60/H60)</f>
        <v/>
      </c>
      <c r="K60" s="517"/>
    </row>
    <row r="61" spans="1:11" ht="12.75" hidden="1" customHeight="1" x14ac:dyDescent="0.25">
      <c r="A61" s="36" t="s">
        <v>1066</v>
      </c>
      <c r="B61" s="142"/>
      <c r="C61" s="526"/>
      <c r="D61" s="328"/>
      <c r="E61" s="329"/>
      <c r="F61" s="329"/>
      <c r="G61" s="329"/>
      <c r="H61" s="329"/>
      <c r="I61" s="41">
        <f>G61-H61</f>
        <v>0</v>
      </c>
      <c r="J61" s="165" t="str">
        <f>IF(I61=0,"",I61/H61)</f>
        <v/>
      </c>
      <c r="K61" s="517"/>
    </row>
    <row r="62" spans="1:11" ht="12.75" hidden="1" customHeight="1" x14ac:dyDescent="0.25">
      <c r="A62" s="36" t="s">
        <v>1067</v>
      </c>
      <c r="B62" s="142"/>
      <c r="C62" s="526"/>
      <c r="D62" s="328"/>
      <c r="E62" s="329"/>
      <c r="F62" s="329"/>
      <c r="G62" s="329"/>
      <c r="H62" s="329"/>
      <c r="I62" s="41">
        <f t="shared" si="16"/>
        <v>0</v>
      </c>
      <c r="J62" s="165" t="str">
        <f t="shared" si="17"/>
        <v/>
      </c>
      <c r="K62" s="517"/>
    </row>
    <row r="63" spans="1:11" ht="12.75" hidden="1" customHeight="1" x14ac:dyDescent="0.25">
      <c r="A63" s="36" t="s">
        <v>568</v>
      </c>
      <c r="B63" s="142"/>
      <c r="C63" s="526"/>
      <c r="D63" s="328"/>
      <c r="E63" s="329"/>
      <c r="F63" s="329"/>
      <c r="G63" s="329"/>
      <c r="H63" s="329"/>
      <c r="I63" s="41">
        <f>G63-H63</f>
        <v>0</v>
      </c>
      <c r="J63" s="165" t="str">
        <f>IF(I63=0,"",I63/H63)</f>
        <v/>
      </c>
      <c r="K63" s="517"/>
    </row>
    <row r="64" spans="1:11" ht="12.75" hidden="1" customHeight="1" x14ac:dyDescent="0.25">
      <c r="A64" s="36" t="s">
        <v>1068</v>
      </c>
      <c r="B64" s="142"/>
      <c r="C64" s="526"/>
      <c r="D64" s="328"/>
      <c r="E64" s="329"/>
      <c r="F64" s="329"/>
      <c r="G64" s="329"/>
      <c r="H64" s="329"/>
      <c r="I64" s="41">
        <f t="shared" si="16"/>
        <v>0</v>
      </c>
      <c r="J64" s="165" t="str">
        <f t="shared" si="17"/>
        <v/>
      </c>
      <c r="K64" s="517"/>
    </row>
    <row r="65" spans="1:11" ht="12.75" hidden="1" customHeight="1" x14ac:dyDescent="0.25">
      <c r="A65" s="36" t="s">
        <v>1069</v>
      </c>
      <c r="B65" s="142"/>
      <c r="C65" s="526"/>
      <c r="D65" s="328"/>
      <c r="E65" s="329"/>
      <c r="F65" s="329"/>
      <c r="G65" s="329"/>
      <c r="H65" s="329"/>
      <c r="I65" s="41">
        <f t="shared" si="16"/>
        <v>0</v>
      </c>
      <c r="J65" s="165" t="str">
        <f t="shared" si="17"/>
        <v/>
      </c>
      <c r="K65" s="517"/>
    </row>
    <row r="66" spans="1:11" ht="12.75" hidden="1" customHeight="1" x14ac:dyDescent="0.25">
      <c r="A66" s="36" t="s">
        <v>1070</v>
      </c>
      <c r="B66" s="142"/>
      <c r="C66" s="526"/>
      <c r="D66" s="328"/>
      <c r="E66" s="329"/>
      <c r="F66" s="329"/>
      <c r="G66" s="329"/>
      <c r="H66" s="329"/>
      <c r="I66" s="41">
        <f t="shared" si="16"/>
        <v>0</v>
      </c>
      <c r="J66" s="165" t="str">
        <f t="shared" si="17"/>
        <v/>
      </c>
      <c r="K66" s="517"/>
    </row>
    <row r="67" spans="1:11" ht="12.75" hidden="1" customHeight="1" x14ac:dyDescent="0.25">
      <c r="A67" s="77" t="s">
        <v>781</v>
      </c>
      <c r="B67" s="142">
        <v>2</v>
      </c>
      <c r="C67" s="406">
        <f t="shared" ref="C67:K67" si="18">SUM(C54:C66)</f>
        <v>0</v>
      </c>
      <c r="D67" s="380">
        <f t="shared" si="18"/>
        <v>0</v>
      </c>
      <c r="E67" s="356">
        <f t="shared" si="18"/>
        <v>0</v>
      </c>
      <c r="F67" s="356">
        <f>SUM(F54:F66)</f>
        <v>0</v>
      </c>
      <c r="G67" s="356">
        <f>SUM(G54:G66)</f>
        <v>0</v>
      </c>
      <c r="H67" s="356">
        <f>SUM(H54:H66)</f>
        <v>0</v>
      </c>
      <c r="I67" s="356">
        <f t="shared" si="16"/>
        <v>0</v>
      </c>
      <c r="J67" s="357" t="str">
        <f>IF(I67=0,"",I67/H67)</f>
        <v/>
      </c>
      <c r="K67" s="403">
        <f t="shared" si="18"/>
        <v>0</v>
      </c>
    </row>
    <row r="68" spans="1:11" ht="12.75" hidden="1" customHeight="1" x14ac:dyDescent="0.25">
      <c r="A68" s="88" t="s">
        <v>735</v>
      </c>
      <c r="B68" s="142">
        <v>4</v>
      </c>
      <c r="C68" s="144"/>
      <c r="D68" s="258" t="str">
        <f>IF(D67=0,"",(D67/C67)-1)</f>
        <v/>
      </c>
      <c r="E68" s="258" t="str">
        <f>IF(E67=0,"",(E67/C67)-1)</f>
        <v/>
      </c>
      <c r="F68" s="258"/>
      <c r="G68" s="258"/>
      <c r="H68" s="258"/>
      <c r="I68" s="258"/>
      <c r="J68" s="292"/>
      <c r="K68" s="267" t="str">
        <f>IF(K67=0,"",(K67/C67)-1)</f>
        <v/>
      </c>
    </row>
    <row r="69" spans="1:11" ht="5.0999999999999996" hidden="1" customHeight="1" x14ac:dyDescent="0.25">
      <c r="A69" s="39"/>
      <c r="B69" s="142"/>
      <c r="C69" s="37"/>
      <c r="D69" s="87"/>
      <c r="E69" s="86"/>
      <c r="F69" s="86"/>
      <c r="G69" s="86"/>
      <c r="H69" s="86"/>
      <c r="I69" s="86"/>
      <c r="J69" s="165"/>
      <c r="K69" s="228"/>
    </row>
    <row r="70" spans="1:11" ht="12.75" hidden="1" customHeight="1" x14ac:dyDescent="0.25">
      <c r="A70" s="445" t="s">
        <v>838</v>
      </c>
      <c r="B70" s="142"/>
      <c r="C70" s="37"/>
      <c r="D70" s="87"/>
      <c r="E70" s="86"/>
      <c r="F70" s="86"/>
      <c r="G70" s="86"/>
      <c r="H70" s="86"/>
      <c r="I70" s="86"/>
      <c r="J70" s="165"/>
      <c r="K70" s="228"/>
    </row>
    <row r="71" spans="1:11" ht="12.75" hidden="1" customHeight="1" x14ac:dyDescent="0.25">
      <c r="A71" s="36" t="s">
        <v>495</v>
      </c>
      <c r="B71" s="142"/>
      <c r="C71" s="526"/>
      <c r="D71" s="328"/>
      <c r="E71" s="329"/>
      <c r="F71" s="329"/>
      <c r="G71" s="329"/>
      <c r="H71" s="329"/>
      <c r="I71" s="41">
        <f t="shared" ref="I71:I83" si="19">G71-H71</f>
        <v>0</v>
      </c>
      <c r="J71" s="165" t="str">
        <f t="shared" ref="J71:J82" si="20">IF(I71=0,"",I71/H71)</f>
        <v/>
      </c>
      <c r="K71" s="517"/>
    </row>
    <row r="72" spans="1:11" ht="12.75" hidden="1" customHeight="1" x14ac:dyDescent="0.25">
      <c r="A72" s="36" t="s">
        <v>1063</v>
      </c>
      <c r="B72" s="142"/>
      <c r="C72" s="526"/>
      <c r="D72" s="328"/>
      <c r="E72" s="329"/>
      <c r="F72" s="329"/>
      <c r="G72" s="329"/>
      <c r="H72" s="329"/>
      <c r="I72" s="41">
        <f t="shared" si="19"/>
        <v>0</v>
      </c>
      <c r="J72" s="165" t="str">
        <f t="shared" si="20"/>
        <v/>
      </c>
      <c r="K72" s="517"/>
    </row>
    <row r="73" spans="1:11" ht="12.75" hidden="1" customHeight="1" x14ac:dyDescent="0.25">
      <c r="A73" s="36" t="s">
        <v>433</v>
      </c>
      <c r="B73" s="142"/>
      <c r="C73" s="526"/>
      <c r="D73" s="328"/>
      <c r="E73" s="329"/>
      <c r="F73" s="329"/>
      <c r="G73" s="329"/>
      <c r="H73" s="329"/>
      <c r="I73" s="41">
        <f t="shared" si="19"/>
        <v>0</v>
      </c>
      <c r="J73" s="165" t="str">
        <f t="shared" si="20"/>
        <v/>
      </c>
      <c r="K73" s="517"/>
    </row>
    <row r="74" spans="1:11" ht="12.75" hidden="1" customHeight="1" x14ac:dyDescent="0.25">
      <c r="A74" s="36" t="s">
        <v>550</v>
      </c>
      <c r="B74" s="142"/>
      <c r="C74" s="526"/>
      <c r="D74" s="328"/>
      <c r="E74" s="329"/>
      <c r="F74" s="329"/>
      <c r="G74" s="329"/>
      <c r="H74" s="329"/>
      <c r="I74" s="41">
        <f t="shared" si="19"/>
        <v>0</v>
      </c>
      <c r="J74" s="165" t="str">
        <f t="shared" si="20"/>
        <v/>
      </c>
      <c r="K74" s="517"/>
    </row>
    <row r="75" spans="1:11" ht="12.75" hidden="1" customHeight="1" x14ac:dyDescent="0.25">
      <c r="A75" s="36" t="s">
        <v>435</v>
      </c>
      <c r="B75" s="142"/>
      <c r="C75" s="526"/>
      <c r="D75" s="328"/>
      <c r="E75" s="329"/>
      <c r="F75" s="329"/>
      <c r="G75" s="329"/>
      <c r="H75" s="329"/>
      <c r="I75" s="41">
        <f>G75-H75</f>
        <v>0</v>
      </c>
      <c r="J75" s="165" t="str">
        <f>IF(I75=0,"",I75/H75)</f>
        <v/>
      </c>
      <c r="K75" s="517"/>
    </row>
    <row r="76" spans="1:11" ht="12.75" hidden="1" customHeight="1" x14ac:dyDescent="0.25">
      <c r="A76" s="36" t="s">
        <v>1064</v>
      </c>
      <c r="B76" s="142"/>
      <c r="C76" s="526"/>
      <c r="D76" s="328"/>
      <c r="E76" s="329"/>
      <c r="F76" s="329"/>
      <c r="G76" s="329"/>
      <c r="H76" s="329"/>
      <c r="I76" s="41">
        <f>G76-H76</f>
        <v>0</v>
      </c>
      <c r="J76" s="165" t="str">
        <f>IF(I76=0,"",I76/H76)</f>
        <v/>
      </c>
      <c r="K76" s="517"/>
    </row>
    <row r="77" spans="1:11" ht="12.75" hidden="1" customHeight="1" x14ac:dyDescent="0.25">
      <c r="A77" s="36" t="s">
        <v>1065</v>
      </c>
      <c r="B77" s="142"/>
      <c r="C77" s="526"/>
      <c r="D77" s="328"/>
      <c r="E77" s="329"/>
      <c r="F77" s="329"/>
      <c r="G77" s="329"/>
      <c r="H77" s="329"/>
      <c r="I77" s="41">
        <f>G77-H77</f>
        <v>0</v>
      </c>
      <c r="J77" s="165" t="str">
        <f>IF(I77=0,"",I77/H77)</f>
        <v/>
      </c>
      <c r="K77" s="517"/>
    </row>
    <row r="78" spans="1:11" ht="12.75" hidden="1" customHeight="1" x14ac:dyDescent="0.25">
      <c r="A78" s="36" t="s">
        <v>1066</v>
      </c>
      <c r="B78" s="142"/>
      <c r="C78" s="526"/>
      <c r="D78" s="328"/>
      <c r="E78" s="329"/>
      <c r="F78" s="329"/>
      <c r="G78" s="329"/>
      <c r="H78" s="329"/>
      <c r="I78" s="41">
        <f>G78-H78</f>
        <v>0</v>
      </c>
      <c r="J78" s="165" t="str">
        <f>IF(I78=0,"",I78/H78)</f>
        <v/>
      </c>
      <c r="K78" s="517"/>
    </row>
    <row r="79" spans="1:11" ht="12.75" hidden="1" customHeight="1" x14ac:dyDescent="0.25">
      <c r="A79" s="36" t="s">
        <v>1067</v>
      </c>
      <c r="B79" s="142"/>
      <c r="C79" s="526"/>
      <c r="D79" s="328"/>
      <c r="E79" s="329"/>
      <c r="F79" s="329"/>
      <c r="G79" s="329"/>
      <c r="H79" s="329"/>
      <c r="I79" s="41">
        <f t="shared" si="19"/>
        <v>0</v>
      </c>
      <c r="J79" s="165" t="str">
        <f t="shared" si="20"/>
        <v/>
      </c>
      <c r="K79" s="517"/>
    </row>
    <row r="80" spans="1:11" ht="12.75" hidden="1" customHeight="1" x14ac:dyDescent="0.25">
      <c r="A80" s="36" t="s">
        <v>1068</v>
      </c>
      <c r="B80" s="142"/>
      <c r="C80" s="526"/>
      <c r="D80" s="328"/>
      <c r="E80" s="329"/>
      <c r="F80" s="329"/>
      <c r="G80" s="329"/>
      <c r="H80" s="329"/>
      <c r="I80" s="41">
        <f t="shared" si="19"/>
        <v>0</v>
      </c>
      <c r="J80" s="165" t="str">
        <f t="shared" si="20"/>
        <v/>
      </c>
      <c r="K80" s="517"/>
    </row>
    <row r="81" spans="1:11" ht="12.75" hidden="1" customHeight="1" x14ac:dyDescent="0.25">
      <c r="A81" s="36" t="s">
        <v>1069</v>
      </c>
      <c r="B81" s="142"/>
      <c r="C81" s="526"/>
      <c r="D81" s="328"/>
      <c r="E81" s="329"/>
      <c r="F81" s="329"/>
      <c r="G81" s="329"/>
      <c r="H81" s="329"/>
      <c r="I81" s="41">
        <f t="shared" si="19"/>
        <v>0</v>
      </c>
      <c r="J81" s="165" t="str">
        <f t="shared" si="20"/>
        <v/>
      </c>
      <c r="K81" s="517"/>
    </row>
    <row r="82" spans="1:11" ht="12.75" hidden="1" customHeight="1" x14ac:dyDescent="0.25">
      <c r="A82" s="36" t="s">
        <v>1070</v>
      </c>
      <c r="B82" s="142">
        <v>2</v>
      </c>
      <c r="C82" s="526"/>
      <c r="D82" s="328"/>
      <c r="E82" s="329"/>
      <c r="F82" s="329"/>
      <c r="G82" s="329"/>
      <c r="H82" s="329"/>
      <c r="I82" s="41">
        <f t="shared" si="19"/>
        <v>0</v>
      </c>
      <c r="J82" s="165" t="str">
        <f t="shared" si="20"/>
        <v/>
      </c>
      <c r="K82" s="517"/>
    </row>
    <row r="83" spans="1:11" ht="12.75" hidden="1" customHeight="1" x14ac:dyDescent="0.25">
      <c r="A83" s="77" t="s">
        <v>839</v>
      </c>
      <c r="B83" s="142"/>
      <c r="C83" s="406">
        <f t="shared" ref="C83:K83" si="21">SUM(C71:C82)</f>
        <v>0</v>
      </c>
      <c r="D83" s="380">
        <f t="shared" si="21"/>
        <v>0</v>
      </c>
      <c r="E83" s="356">
        <f t="shared" si="21"/>
        <v>0</v>
      </c>
      <c r="F83" s="356">
        <f>SUM(F71:F82)</f>
        <v>0</v>
      </c>
      <c r="G83" s="356">
        <f>SUM(G71:G82)</f>
        <v>0</v>
      </c>
      <c r="H83" s="356">
        <f>SUM(H71:H82)</f>
        <v>0</v>
      </c>
      <c r="I83" s="356">
        <f t="shared" si="19"/>
        <v>0</v>
      </c>
      <c r="J83" s="357" t="str">
        <f>IF(I83=0,"",I83/H83)</f>
        <v/>
      </c>
      <c r="K83" s="403">
        <f t="shared" si="21"/>
        <v>0</v>
      </c>
    </row>
    <row r="84" spans="1:11" ht="12.75" hidden="1" customHeight="1" x14ac:dyDescent="0.25">
      <c r="A84" s="88" t="s">
        <v>735</v>
      </c>
      <c r="B84" s="142">
        <v>4</v>
      </c>
      <c r="C84" s="144"/>
      <c r="D84" s="258" t="str">
        <f>IF(D83=0,"",(D83/C83)-1)</f>
        <v/>
      </c>
      <c r="E84" s="258" t="str">
        <f>IF(E83=0,"",(E83/C83)-1)</f>
        <v/>
      </c>
      <c r="F84" s="258"/>
      <c r="G84" s="258"/>
      <c r="H84" s="258"/>
      <c r="I84" s="258"/>
      <c r="J84" s="292"/>
      <c r="K84" s="267" t="str">
        <f>IF(K83=0,"",(K83/C83)-1)</f>
        <v/>
      </c>
    </row>
    <row r="85" spans="1:11" ht="5.0999999999999996" hidden="1" customHeight="1" x14ac:dyDescent="0.25">
      <c r="A85" s="39"/>
      <c r="B85" s="142"/>
      <c r="C85" s="37"/>
      <c r="D85" s="87"/>
      <c r="E85" s="86"/>
      <c r="F85" s="86"/>
      <c r="G85" s="86"/>
      <c r="H85" s="86"/>
      <c r="I85" s="86"/>
      <c r="J85" s="165"/>
      <c r="K85" s="228"/>
    </row>
    <row r="86" spans="1:11" ht="12.75" hidden="1" customHeight="1" x14ac:dyDescent="0.25">
      <c r="A86" s="445" t="s">
        <v>730</v>
      </c>
      <c r="B86" s="142"/>
      <c r="C86" s="37"/>
      <c r="D86" s="87"/>
      <c r="E86" s="86"/>
      <c r="F86" s="86"/>
      <c r="G86" s="86"/>
      <c r="H86" s="86"/>
      <c r="I86" s="86"/>
      <c r="J86" s="165"/>
      <c r="K86" s="228"/>
    </row>
    <row r="87" spans="1:11" ht="12.75" hidden="1" customHeight="1" x14ac:dyDescent="0.25">
      <c r="A87" s="36" t="s">
        <v>495</v>
      </c>
      <c r="B87" s="142"/>
      <c r="C87" s="526"/>
      <c r="D87" s="328"/>
      <c r="E87" s="329"/>
      <c r="F87" s="329"/>
      <c r="G87" s="329"/>
      <c r="H87" s="329"/>
      <c r="I87" s="41">
        <f t="shared" ref="I87:I99" si="22">G87-H87</f>
        <v>0</v>
      </c>
      <c r="J87" s="165" t="str">
        <f t="shared" ref="J87:J98" si="23">IF(I87=0,"",I87/H87)</f>
        <v/>
      </c>
      <c r="K87" s="517"/>
    </row>
    <row r="88" spans="1:11" ht="12.75" hidden="1" customHeight="1" x14ac:dyDescent="0.25">
      <c r="A88" s="36" t="s">
        <v>1063</v>
      </c>
      <c r="B88" s="142"/>
      <c r="C88" s="526"/>
      <c r="D88" s="328"/>
      <c r="E88" s="329"/>
      <c r="F88" s="329"/>
      <c r="G88" s="329"/>
      <c r="H88" s="329"/>
      <c r="I88" s="41">
        <f t="shared" si="22"/>
        <v>0</v>
      </c>
      <c r="J88" s="165" t="str">
        <f t="shared" si="23"/>
        <v/>
      </c>
      <c r="K88" s="517"/>
    </row>
    <row r="89" spans="1:11" ht="12.75" hidden="1" customHeight="1" x14ac:dyDescent="0.25">
      <c r="A89" s="36" t="s">
        <v>433</v>
      </c>
      <c r="B89" s="142"/>
      <c r="C89" s="526"/>
      <c r="D89" s="328"/>
      <c r="E89" s="329"/>
      <c r="F89" s="329"/>
      <c r="G89" s="329"/>
      <c r="H89" s="329"/>
      <c r="I89" s="41">
        <f>G89-H89</f>
        <v>0</v>
      </c>
      <c r="J89" s="165" t="str">
        <f>IF(I89=0,"",I89/H89)</f>
        <v/>
      </c>
      <c r="K89" s="517"/>
    </row>
    <row r="90" spans="1:11" ht="12.75" hidden="1" customHeight="1" x14ac:dyDescent="0.25">
      <c r="A90" s="36" t="s">
        <v>550</v>
      </c>
      <c r="B90" s="142"/>
      <c r="C90" s="526"/>
      <c r="D90" s="328"/>
      <c r="E90" s="329"/>
      <c r="F90" s="329"/>
      <c r="G90" s="329"/>
      <c r="H90" s="329"/>
      <c r="I90" s="41">
        <f>G90-H90</f>
        <v>0</v>
      </c>
      <c r="J90" s="165" t="str">
        <f>IF(I90=0,"",I90/H90)</f>
        <v/>
      </c>
      <c r="K90" s="517"/>
    </row>
    <row r="91" spans="1:11" ht="12.75" hidden="1" customHeight="1" x14ac:dyDescent="0.25">
      <c r="A91" s="36" t="s">
        <v>435</v>
      </c>
      <c r="B91" s="142"/>
      <c r="C91" s="526"/>
      <c r="D91" s="328"/>
      <c r="E91" s="329"/>
      <c r="F91" s="329"/>
      <c r="G91" s="329"/>
      <c r="H91" s="329"/>
      <c r="I91" s="41">
        <f>G91-H91</f>
        <v>0</v>
      </c>
      <c r="J91" s="165" t="str">
        <f>IF(I91=0,"",I91/H91)</f>
        <v/>
      </c>
      <c r="K91" s="517"/>
    </row>
    <row r="92" spans="1:11" ht="12.75" hidden="1" customHeight="1" x14ac:dyDescent="0.25">
      <c r="A92" s="36" t="s">
        <v>1064</v>
      </c>
      <c r="B92" s="142"/>
      <c r="C92" s="526"/>
      <c r="D92" s="328"/>
      <c r="E92" s="329"/>
      <c r="F92" s="329"/>
      <c r="G92" s="329"/>
      <c r="H92" s="329"/>
      <c r="I92" s="41">
        <f>G92-H92</f>
        <v>0</v>
      </c>
      <c r="J92" s="165" t="str">
        <f>IF(I92=0,"",I92/H92)</f>
        <v/>
      </c>
      <c r="K92" s="517"/>
    </row>
    <row r="93" spans="1:11" ht="12.75" hidden="1" customHeight="1" x14ac:dyDescent="0.25">
      <c r="A93" s="36" t="s">
        <v>1065</v>
      </c>
      <c r="B93" s="142"/>
      <c r="C93" s="526"/>
      <c r="D93" s="328"/>
      <c r="E93" s="329"/>
      <c r="F93" s="329"/>
      <c r="G93" s="329"/>
      <c r="H93" s="329"/>
      <c r="I93" s="41">
        <f t="shared" si="22"/>
        <v>0</v>
      </c>
      <c r="J93" s="165" t="str">
        <f t="shared" si="23"/>
        <v/>
      </c>
      <c r="K93" s="517"/>
    </row>
    <row r="94" spans="1:11" ht="12.75" hidden="1" customHeight="1" x14ac:dyDescent="0.25">
      <c r="A94" s="36" t="s">
        <v>1066</v>
      </c>
      <c r="B94" s="142"/>
      <c r="C94" s="526"/>
      <c r="D94" s="328"/>
      <c r="E94" s="329"/>
      <c r="F94" s="329"/>
      <c r="G94" s="329"/>
      <c r="H94" s="329"/>
      <c r="I94" s="41">
        <f t="shared" si="22"/>
        <v>0</v>
      </c>
      <c r="J94" s="165" t="str">
        <f t="shared" si="23"/>
        <v/>
      </c>
      <c r="K94" s="517"/>
    </row>
    <row r="95" spans="1:11" ht="12.75" hidden="1" customHeight="1" x14ac:dyDescent="0.25">
      <c r="A95" s="36" t="s">
        <v>1067</v>
      </c>
      <c r="B95" s="142"/>
      <c r="C95" s="526"/>
      <c r="D95" s="328"/>
      <c r="E95" s="329"/>
      <c r="F95" s="329"/>
      <c r="G95" s="329"/>
      <c r="H95" s="329"/>
      <c r="I95" s="41">
        <f t="shared" si="22"/>
        <v>0</v>
      </c>
      <c r="J95" s="165" t="str">
        <f t="shared" si="23"/>
        <v/>
      </c>
      <c r="K95" s="517"/>
    </row>
    <row r="96" spans="1:11" ht="12.75" hidden="1" customHeight="1" x14ac:dyDescent="0.25">
      <c r="A96" s="36" t="s">
        <v>1068</v>
      </c>
      <c r="B96" s="142"/>
      <c r="C96" s="526"/>
      <c r="D96" s="328"/>
      <c r="E96" s="329"/>
      <c r="F96" s="329"/>
      <c r="G96" s="329"/>
      <c r="H96" s="329"/>
      <c r="I96" s="41">
        <f t="shared" si="22"/>
        <v>0</v>
      </c>
      <c r="J96" s="165" t="str">
        <f t="shared" si="23"/>
        <v/>
      </c>
      <c r="K96" s="517"/>
    </row>
    <row r="97" spans="1:11" ht="12.75" hidden="1" customHeight="1" x14ac:dyDescent="0.25">
      <c r="A97" s="36" t="s">
        <v>1069</v>
      </c>
      <c r="B97" s="142"/>
      <c r="C97" s="526"/>
      <c r="D97" s="328"/>
      <c r="E97" s="329"/>
      <c r="F97" s="329"/>
      <c r="G97" s="329"/>
      <c r="H97" s="329"/>
      <c r="I97" s="41">
        <f t="shared" si="22"/>
        <v>0</v>
      </c>
      <c r="J97" s="165" t="str">
        <f t="shared" si="23"/>
        <v/>
      </c>
      <c r="K97" s="517"/>
    </row>
    <row r="98" spans="1:11" ht="12.75" hidden="1" customHeight="1" x14ac:dyDescent="0.25">
      <c r="A98" s="36" t="s">
        <v>1070</v>
      </c>
      <c r="B98" s="142"/>
      <c r="C98" s="526"/>
      <c r="D98" s="328"/>
      <c r="E98" s="329"/>
      <c r="F98" s="329"/>
      <c r="G98" s="329"/>
      <c r="H98" s="329"/>
      <c r="I98" s="41">
        <f t="shared" si="22"/>
        <v>0</v>
      </c>
      <c r="J98" s="165" t="str">
        <f t="shared" si="23"/>
        <v/>
      </c>
      <c r="K98" s="517"/>
    </row>
    <row r="99" spans="1:11" ht="12.75" hidden="1" customHeight="1" x14ac:dyDescent="0.25">
      <c r="A99" s="77" t="s">
        <v>516</v>
      </c>
      <c r="B99" s="142"/>
      <c r="C99" s="406">
        <f t="shared" ref="C99:H99" si="24">SUM(C87:C98)</f>
        <v>0</v>
      </c>
      <c r="D99" s="380">
        <f t="shared" si="24"/>
        <v>0</v>
      </c>
      <c r="E99" s="356">
        <f t="shared" si="24"/>
        <v>0</v>
      </c>
      <c r="F99" s="356">
        <f t="shared" si="24"/>
        <v>0</v>
      </c>
      <c r="G99" s="356">
        <f t="shared" si="24"/>
        <v>0</v>
      </c>
      <c r="H99" s="356">
        <f t="shared" si="24"/>
        <v>0</v>
      </c>
      <c r="I99" s="356">
        <f t="shared" si="22"/>
        <v>0</v>
      </c>
      <c r="J99" s="357" t="str">
        <f>IF(I99=0,"",I99/H99)</f>
        <v/>
      </c>
      <c r="K99" s="403">
        <f>SUM(K87:K98)</f>
        <v>0</v>
      </c>
    </row>
    <row r="100" spans="1:11" ht="12.75" hidden="1" customHeight="1" x14ac:dyDescent="0.25">
      <c r="A100" s="88" t="s">
        <v>735</v>
      </c>
      <c r="B100" s="142">
        <v>4</v>
      </c>
      <c r="C100" s="335"/>
      <c r="D100" s="258" t="str">
        <f>IF(D99=0,"",(D99/C99)-1)</f>
        <v/>
      </c>
      <c r="E100" s="258" t="str">
        <f>IF(E99=0,"",(E99/C99)-1)</f>
        <v/>
      </c>
      <c r="F100" s="258"/>
      <c r="G100" s="258"/>
      <c r="H100" s="258"/>
      <c r="I100" s="337"/>
      <c r="J100" s="339"/>
      <c r="K100" s="267" t="str">
        <f>IF(K99=0,"",(K99/C99)-1)</f>
        <v/>
      </c>
    </row>
    <row r="101" spans="1:11" ht="5.0999999999999996" hidden="1" customHeight="1" x14ac:dyDescent="0.25">
      <c r="A101" s="434"/>
      <c r="B101" s="211"/>
      <c r="C101" s="37"/>
      <c r="D101" s="87"/>
      <c r="E101" s="86"/>
      <c r="F101" s="86"/>
      <c r="G101" s="86"/>
      <c r="H101" s="86"/>
      <c r="I101" s="86"/>
      <c r="J101" s="165"/>
      <c r="K101" s="228"/>
    </row>
    <row r="102" spans="1:11" ht="12.75" hidden="1" customHeight="1" x14ac:dyDescent="0.25">
      <c r="A102" s="77" t="s">
        <v>458</v>
      </c>
      <c r="B102" s="142"/>
      <c r="C102" s="406">
        <f t="shared" ref="C102:H102" si="25">C67+C83+C99</f>
        <v>0</v>
      </c>
      <c r="D102" s="380">
        <f t="shared" si="25"/>
        <v>0</v>
      </c>
      <c r="E102" s="356">
        <f t="shared" si="25"/>
        <v>0</v>
      </c>
      <c r="F102" s="356">
        <f t="shared" si="25"/>
        <v>0</v>
      </c>
      <c r="G102" s="356">
        <f t="shared" si="25"/>
        <v>0</v>
      </c>
      <c r="H102" s="356">
        <f t="shared" si="25"/>
        <v>0</v>
      </c>
      <c r="I102" s="356">
        <f>G102-H102</f>
        <v>0</v>
      </c>
      <c r="J102" s="357" t="str">
        <f>IF(I102=0,"",I102/H102)</f>
        <v/>
      </c>
      <c r="K102" s="403">
        <f>K67+K83+K99</f>
        <v>0</v>
      </c>
    </row>
    <row r="103" spans="1:11" ht="12.6" customHeight="1" x14ac:dyDescent="0.25">
      <c r="A103" s="39"/>
      <c r="B103" s="142"/>
      <c r="C103" s="111"/>
      <c r="D103" s="87"/>
      <c r="E103" s="86"/>
      <c r="F103" s="86"/>
      <c r="G103" s="86"/>
      <c r="H103" s="86"/>
      <c r="I103" s="86"/>
      <c r="J103" s="165"/>
      <c r="K103" s="228"/>
    </row>
    <row r="104" spans="1:11" ht="12.75" customHeight="1" x14ac:dyDescent="0.25">
      <c r="A104" s="446" t="s">
        <v>987</v>
      </c>
      <c r="B104" s="199"/>
      <c r="C104" s="94">
        <f t="shared" ref="C104:H104" si="26">C49+C102</f>
        <v>269566191.72999996</v>
      </c>
      <c r="D104" s="52">
        <f t="shared" si="26"/>
        <v>328765482</v>
      </c>
      <c r="E104" s="51">
        <f t="shared" si="26"/>
        <v>300148034</v>
      </c>
      <c r="F104" s="51">
        <f t="shared" si="26"/>
        <v>25210033.950000003</v>
      </c>
      <c r="G104" s="51">
        <f t="shared" si="26"/>
        <v>294290351.31999993</v>
      </c>
      <c r="H104" s="51">
        <f t="shared" si="26"/>
        <v>300148034</v>
      </c>
      <c r="I104" s="51">
        <f>G104-H104</f>
        <v>-5857682.6800000668</v>
      </c>
      <c r="J104" s="281">
        <f>IF(I104=0,"",I104/H104)</f>
        <v>-1.9515978838628899E-2</v>
      </c>
      <c r="K104" s="198">
        <f>K49+K102</f>
        <v>300148034</v>
      </c>
    </row>
    <row r="105" spans="1:11" ht="12.75" customHeight="1" x14ac:dyDescent="0.25">
      <c r="A105" s="88" t="s">
        <v>735</v>
      </c>
      <c r="B105" s="142">
        <v>4</v>
      </c>
      <c r="C105" s="335"/>
      <c r="D105" s="258">
        <f>IF(D104=0,"",(D104/C104)-1)</f>
        <v>0.219609476581895</v>
      </c>
      <c r="E105" s="258">
        <f>IF(E104=0,"",(E104/C104)-1)</f>
        <v>0.1134483596542073</v>
      </c>
      <c r="F105" s="258"/>
      <c r="G105" s="258"/>
      <c r="H105" s="258"/>
      <c r="I105" s="337"/>
      <c r="J105" s="339"/>
      <c r="K105" s="267">
        <f>IF(K104=0,"",(K104/C104)-1)</f>
        <v>0.1134483596542073</v>
      </c>
    </row>
    <row r="106" spans="1:11" ht="12.75" customHeight="1" x14ac:dyDescent="0.25">
      <c r="A106" s="49" t="s">
        <v>134</v>
      </c>
      <c r="B106" s="199"/>
      <c r="C106" s="94">
        <f t="shared" ref="C106:I106" si="27">C30+C46+C83+C99</f>
        <v>252675350.92999998</v>
      </c>
      <c r="D106" s="52">
        <f t="shared" si="27"/>
        <v>310636523</v>
      </c>
      <c r="E106" s="51">
        <f t="shared" si="27"/>
        <v>282019075</v>
      </c>
      <c r="F106" s="51">
        <f t="shared" si="27"/>
        <v>23766346.210000005</v>
      </c>
      <c r="G106" s="51">
        <f t="shared" si="27"/>
        <v>276627197.24999994</v>
      </c>
      <c r="H106" s="51">
        <f t="shared" si="27"/>
        <v>282019075</v>
      </c>
      <c r="I106" s="51">
        <f t="shared" si="27"/>
        <v>-5391877.7500000782</v>
      </c>
      <c r="J106" s="619">
        <f>IF(I106=0,"",I106/H106)</f>
        <v>-1.9118840631613582E-2</v>
      </c>
      <c r="K106" s="198">
        <f>K30+K46+K83+K99</f>
        <v>282019075</v>
      </c>
    </row>
    <row r="107" spans="1:11" x14ac:dyDescent="0.25">
      <c r="A107" s="39"/>
      <c r="K107" s="151"/>
    </row>
    <row r="108" spans="1:11" x14ac:dyDescent="0.25">
      <c r="A108" s="39"/>
      <c r="C108" s="813">
        <f>C104-('C4-FinPerf RE'!C25+'C4-FinPerf RE'!C26)</f>
        <v>0</v>
      </c>
      <c r="D108" s="813">
        <f>D104-('C4-FinPerf RE'!D25+'C4-FinPerf RE'!D26)</f>
        <v>0</v>
      </c>
      <c r="E108" s="813">
        <f>E104-('C4-FinPerf RE'!E25+'C4-FinPerf RE'!E26)</f>
        <v>0</v>
      </c>
      <c r="F108" s="813">
        <f>F104-('C4-FinPerf RE'!F25+'C4-FinPerf RE'!F26)</f>
        <v>0</v>
      </c>
      <c r="G108" s="813">
        <f>G104-('C4-FinPerf RE'!G25+'C4-FinPerf RE'!G26)</f>
        <v>0</v>
      </c>
      <c r="H108" s="813">
        <f>H104-('C4-FinPerf RE'!H25+'C4-FinPerf RE'!H26)</f>
        <v>0</v>
      </c>
      <c r="I108" s="813">
        <f>I104-('C4-FinPerf RE'!I25+'C4-FinPerf RE'!I26)</f>
        <v>-1.2665987014770508E-7</v>
      </c>
      <c r="J108" s="813"/>
      <c r="K108" s="814">
        <f>K104-('C4-FinPerf RE'!K25+'C4-FinPerf RE'!K26)</f>
        <v>0</v>
      </c>
    </row>
    <row r="109" spans="1:11" x14ac:dyDescent="0.25">
      <c r="A109" s="39"/>
      <c r="C109" s="813">
        <f>C106-'C4-FinPerf RE'!C25</f>
        <v>0</v>
      </c>
      <c r="D109" s="813">
        <f>D106-'C4-FinPerf RE'!D25</f>
        <v>0</v>
      </c>
      <c r="E109" s="813">
        <f>E106-'C4-FinPerf RE'!E25</f>
        <v>0</v>
      </c>
      <c r="F109" s="813">
        <f>F106-'C4-FinPerf RE'!F25</f>
        <v>0</v>
      </c>
      <c r="G109" s="813">
        <f>G106-'C4-FinPerf RE'!G25</f>
        <v>0</v>
      </c>
      <c r="H109" s="813">
        <f>H106-'C4-FinPerf RE'!H25</f>
        <v>0</v>
      </c>
      <c r="I109" s="813">
        <f>I106-'C4-FinPerf RE'!I25</f>
        <v>-1.3783574104309082E-7</v>
      </c>
      <c r="J109" s="813"/>
      <c r="K109" s="814">
        <f>K106-'C4-FinPerf RE'!K25</f>
        <v>0</v>
      </c>
    </row>
    <row r="110" spans="1:11" x14ac:dyDescent="0.25">
      <c r="A110" s="80"/>
      <c r="B110" s="286"/>
      <c r="C110" s="286"/>
      <c r="D110" s="286"/>
      <c r="E110" s="286"/>
      <c r="F110" s="286"/>
      <c r="G110" s="286"/>
      <c r="H110" s="286"/>
      <c r="I110" s="286"/>
      <c r="J110" s="286"/>
      <c r="K110" s="29"/>
    </row>
  </sheetData>
  <mergeCells count="3">
    <mergeCell ref="A2:A3"/>
    <mergeCell ref="B2:B3"/>
    <mergeCell ref="A1:K1"/>
  </mergeCells>
  <phoneticPr fontId="3" type="noConversion"/>
  <printOptions horizontalCentered="1"/>
  <pageMargins left="0.19685039370078741" right="0.19685039370078741" top="0.59055118110236227" bottom="0.59055118110236227" header="0.51181102362204722" footer="0.51181102362204722"/>
  <pageSetup paperSize="9" scale="87" orientation="portrait" r:id="rId1"/>
  <headerFooter alignWithMargins="0"/>
  <ignoredErrors>
    <ignoredError sqref="J106" formula="1" unlockedFormula="1"/>
    <ignoredError sqref="H7:K14 H106:I106 K106" unlockedFormula="1"/>
    <ignoredError sqref="H15:K16 H18:K105 I17:K17" evalError="1" unlockedFormula="1"/>
    <ignoredError sqref="D15:G17 D46:G105 D43 D30:G32 D18:D29 D44:D45 D34:D42 D33:E33 G33" evalErro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4">
    <tabColor indexed="42"/>
    <pageSetUpPr fitToPage="1"/>
  </sheetPr>
  <dimension ref="A1:Q66"/>
  <sheetViews>
    <sheetView showGridLines="0" view="pageBreakPreview" zoomScaleNormal="100" zoomScaleSheetLayoutView="100" workbookViewId="0">
      <pane xSplit="2" ySplit="4" topLeftCell="C5" activePane="bottomRight" state="frozen"/>
      <selection pane="topRight"/>
      <selection pane="bottomLeft"/>
      <selection pane="bottomRight" activeCell="N49" sqref="N49"/>
    </sheetView>
  </sheetViews>
  <sheetFormatPr defaultColWidth="9.140625" defaultRowHeight="12.75" x14ac:dyDescent="0.25"/>
  <cols>
    <col min="1" max="1" width="37.140625" style="22" bestFit="1" customWidth="1"/>
    <col min="2" max="2" width="3.140625" style="22" customWidth="1"/>
    <col min="3" max="14" width="7.7109375" style="22" customWidth="1"/>
    <col min="15" max="17" width="8.7109375" style="22" customWidth="1"/>
    <col min="18" max="16384" width="9.140625" style="22"/>
  </cols>
  <sheetData>
    <row r="1" spans="1:17" ht="13.5" x14ac:dyDescent="0.25">
      <c r="A1" s="135" t="str">
        <f>muni&amp; " - "&amp;S71O&amp; " - "&amp;Head57</f>
        <v>WC025 Breede Valley - Supporting Table SC9 Monthly Budget Statement - actuals and revised targets for cash receipts - Q4 Fourth Quarter</v>
      </c>
      <c r="B1" s="54"/>
    </row>
    <row r="2" spans="1:17" ht="25.5" customHeight="1" x14ac:dyDescent="0.25">
      <c r="A2" s="980" t="str">
        <f>desc</f>
        <v>Description</v>
      </c>
      <c r="B2" s="973" t="str">
        <f>head27</f>
        <v>Ref</v>
      </c>
      <c r="C2" s="975" t="str">
        <f>Head2</f>
        <v>Budget Year 2018/19</v>
      </c>
      <c r="D2" s="976"/>
      <c r="E2" s="976"/>
      <c r="F2" s="976"/>
      <c r="G2" s="976"/>
      <c r="H2" s="976"/>
      <c r="I2" s="976"/>
      <c r="J2" s="976"/>
      <c r="K2" s="976"/>
      <c r="L2" s="976"/>
      <c r="M2" s="976"/>
      <c r="N2" s="1037"/>
      <c r="O2" s="975" t="str">
        <f>'Template names'!B5</f>
        <v>2018/19 Medium Term Revenue &amp; Expenditure Framework</v>
      </c>
      <c r="P2" s="976"/>
      <c r="Q2" s="977"/>
    </row>
    <row r="3" spans="1:17" ht="12.75" customHeight="1" x14ac:dyDescent="0.25">
      <c r="A3" s="981"/>
      <c r="B3" s="987"/>
      <c r="C3" s="118" t="s">
        <v>792</v>
      </c>
      <c r="D3" s="24" t="s">
        <v>920</v>
      </c>
      <c r="E3" s="24" t="s">
        <v>3</v>
      </c>
      <c r="F3" s="24" t="s">
        <v>921</v>
      </c>
      <c r="G3" s="24" t="s">
        <v>4</v>
      </c>
      <c r="H3" s="24" t="s">
        <v>5</v>
      </c>
      <c r="I3" s="24" t="s">
        <v>924</v>
      </c>
      <c r="J3" s="24" t="s">
        <v>6</v>
      </c>
      <c r="K3" s="24" t="s">
        <v>926</v>
      </c>
      <c r="L3" s="24" t="s">
        <v>927</v>
      </c>
      <c r="M3" s="24" t="s">
        <v>928</v>
      </c>
      <c r="N3" s="136" t="s">
        <v>929</v>
      </c>
      <c r="O3" s="1035" t="str">
        <f>Head9</f>
        <v>Budget Year 2018/19</v>
      </c>
      <c r="P3" s="1031" t="str">
        <f>Head10</f>
        <v>Budget Year +1 2019/20</v>
      </c>
      <c r="Q3" s="1033" t="str">
        <f>Head11</f>
        <v>Budget Year +2 2020/21</v>
      </c>
    </row>
    <row r="4" spans="1:17" ht="13.5" customHeight="1" x14ac:dyDescent="0.25">
      <c r="A4" s="246" t="s">
        <v>678</v>
      </c>
      <c r="B4" s="211">
        <v>1</v>
      </c>
      <c r="C4" s="552" t="s">
        <v>561</v>
      </c>
      <c r="D4" s="553" t="s">
        <v>561</v>
      </c>
      <c r="E4" s="553" t="s">
        <v>561</v>
      </c>
      <c r="F4" s="553" t="s">
        <v>561</v>
      </c>
      <c r="G4" s="553" t="s">
        <v>561</v>
      </c>
      <c r="H4" s="553" t="s">
        <v>561</v>
      </c>
      <c r="I4" s="553" t="s">
        <v>561</v>
      </c>
      <c r="J4" s="553" t="s">
        <v>561</v>
      </c>
      <c r="K4" s="553" t="s">
        <v>561</v>
      </c>
      <c r="L4" s="553" t="s">
        <v>561</v>
      </c>
      <c r="M4" s="553" t="s">
        <v>561</v>
      </c>
      <c r="N4" s="554" t="s">
        <v>561</v>
      </c>
      <c r="O4" s="1036"/>
      <c r="P4" s="1032"/>
      <c r="Q4" s="1034"/>
    </row>
    <row r="5" spans="1:17" ht="12.75" customHeight="1" x14ac:dyDescent="0.25">
      <c r="A5" s="32" t="s">
        <v>947</v>
      </c>
      <c r="B5" s="35"/>
      <c r="C5" s="221"/>
      <c r="D5" s="201"/>
      <c r="E5" s="201"/>
      <c r="F5" s="201"/>
      <c r="G5" s="201"/>
      <c r="H5" s="201"/>
      <c r="I5" s="201"/>
      <c r="J5" s="201"/>
      <c r="K5" s="201"/>
      <c r="L5" s="201"/>
      <c r="M5" s="201"/>
      <c r="N5" s="270"/>
      <c r="O5" s="200"/>
      <c r="P5" s="201"/>
      <c r="Q5" s="158"/>
    </row>
    <row r="6" spans="1:17" ht="12.75" customHeight="1" x14ac:dyDescent="0.25">
      <c r="A6" s="36" t="s">
        <v>946</v>
      </c>
      <c r="B6" s="37"/>
      <c r="C6" s="531">
        <v>7255207.25</v>
      </c>
      <c r="D6" s="329">
        <v>16628996.15</v>
      </c>
      <c r="E6" s="329">
        <v>10045245.769999998</v>
      </c>
      <c r="F6" s="329">
        <v>9126062.6399999987</v>
      </c>
      <c r="G6" s="329">
        <v>7439608.1499999985</v>
      </c>
      <c r="H6" s="329">
        <v>8042778.04</v>
      </c>
      <c r="I6" s="329">
        <v>8751815.9900000002</v>
      </c>
      <c r="J6" s="329">
        <v>8136816.6900000004</v>
      </c>
      <c r="K6" s="329">
        <v>7913522.2599999998</v>
      </c>
      <c r="L6" s="329">
        <v>7844894.0199999996</v>
      </c>
      <c r="M6" s="329">
        <v>8501642.3000000007</v>
      </c>
      <c r="N6" s="90">
        <v>7215783.9900000002</v>
      </c>
      <c r="O6" s="328">
        <v>127370032.09999999</v>
      </c>
      <c r="P6" s="329">
        <v>146539970</v>
      </c>
      <c r="Q6" s="517">
        <v>154746300</v>
      </c>
    </row>
    <row r="7" spans="1:17" ht="12.75" customHeight="1" x14ac:dyDescent="0.25">
      <c r="A7" s="36" t="s">
        <v>842</v>
      </c>
      <c r="B7" s="37"/>
      <c r="C7" s="531">
        <v>32230147.539999999</v>
      </c>
      <c r="D7" s="329">
        <v>34468029.219999999</v>
      </c>
      <c r="E7" s="329">
        <v>34649523.140000001</v>
      </c>
      <c r="F7" s="329">
        <v>39866224.540000007</v>
      </c>
      <c r="G7" s="329">
        <v>30779311.199999996</v>
      </c>
      <c r="H7" s="329">
        <v>28363437.57</v>
      </c>
      <c r="I7" s="329">
        <v>38110509.75</v>
      </c>
      <c r="J7" s="329">
        <v>29634799.34</v>
      </c>
      <c r="K7" s="329">
        <v>31145407.740000002</v>
      </c>
      <c r="L7" s="329">
        <v>33282878.579999998</v>
      </c>
      <c r="M7" s="329">
        <v>37012119.280000001</v>
      </c>
      <c r="N7" s="90">
        <v>30979368.160000004</v>
      </c>
      <c r="O7" s="328">
        <v>398479192</v>
      </c>
      <c r="P7" s="329">
        <v>418572500</v>
      </c>
      <c r="Q7" s="517">
        <v>442605199</v>
      </c>
    </row>
    <row r="8" spans="1:17" ht="12.75" customHeight="1" x14ac:dyDescent="0.25">
      <c r="A8" s="36" t="s">
        <v>843</v>
      </c>
      <c r="B8" s="37"/>
      <c r="C8" s="531">
        <v>3543297.24</v>
      </c>
      <c r="D8" s="329">
        <v>4411938.9800000004</v>
      </c>
      <c r="E8" s="329">
        <v>4399522.5000000019</v>
      </c>
      <c r="F8" s="329">
        <v>4205144.3</v>
      </c>
      <c r="G8" s="329">
        <v>4427454.1399999997</v>
      </c>
      <c r="H8" s="329">
        <v>5436384.9000000004</v>
      </c>
      <c r="I8" s="329">
        <v>6451812.8300000001</v>
      </c>
      <c r="J8" s="329">
        <v>5738075.5099999998</v>
      </c>
      <c r="K8" s="329">
        <v>5683100.2300000004</v>
      </c>
      <c r="L8" s="329">
        <v>7088590.1900000004</v>
      </c>
      <c r="M8" s="329">
        <v>5619892.5899999999</v>
      </c>
      <c r="N8" s="90">
        <v>8592332.6999999993</v>
      </c>
      <c r="O8" s="328">
        <v>64327791</v>
      </c>
      <c r="P8" s="329">
        <v>76961447.900000006</v>
      </c>
      <c r="Q8" s="517">
        <v>81281788.549999997</v>
      </c>
    </row>
    <row r="9" spans="1:17" ht="12.75" customHeight="1" x14ac:dyDescent="0.25">
      <c r="A9" s="36" t="s">
        <v>844</v>
      </c>
      <c r="B9" s="37"/>
      <c r="C9" s="531">
        <v>3998242.1</v>
      </c>
      <c r="D9" s="329">
        <v>4842359.0999999996</v>
      </c>
      <c r="E9" s="329">
        <v>4639222.88</v>
      </c>
      <c r="F9" s="329">
        <v>4912695.6600000011</v>
      </c>
      <c r="G9" s="329">
        <v>4334985.46</v>
      </c>
      <c r="H9" s="329">
        <v>4447429.2699999996</v>
      </c>
      <c r="I9" s="329">
        <v>5047465.88</v>
      </c>
      <c r="J9" s="329">
        <v>4510008.84</v>
      </c>
      <c r="K9" s="329">
        <v>4454229.95</v>
      </c>
      <c r="L9" s="329">
        <v>4472089.76</v>
      </c>
      <c r="M9" s="329">
        <v>4692105.4400000004</v>
      </c>
      <c r="N9" s="90">
        <v>4161141.06</v>
      </c>
      <c r="O9" s="328">
        <v>67183392.950000003</v>
      </c>
      <c r="P9" s="329">
        <v>70722180</v>
      </c>
      <c r="Q9" s="517">
        <v>75672441</v>
      </c>
    </row>
    <row r="10" spans="1:17" ht="12.75" customHeight="1" x14ac:dyDescent="0.25">
      <c r="A10" s="36" t="s">
        <v>490</v>
      </c>
      <c r="B10" s="37"/>
      <c r="C10" s="531">
        <v>2404421.15</v>
      </c>
      <c r="D10" s="329">
        <v>3025842.65</v>
      </c>
      <c r="E10" s="329">
        <v>2712895.7700000005</v>
      </c>
      <c r="F10" s="329">
        <v>2861924.7800000007</v>
      </c>
      <c r="G10" s="329">
        <v>2480120.58</v>
      </c>
      <c r="H10" s="329">
        <v>2538243.1</v>
      </c>
      <c r="I10" s="329">
        <v>2892310.71</v>
      </c>
      <c r="J10" s="329">
        <v>2561960.7200000002</v>
      </c>
      <c r="K10" s="329">
        <v>2546183.1800000002</v>
      </c>
      <c r="L10" s="329">
        <v>2542695.48</v>
      </c>
      <c r="M10" s="329">
        <v>2569464.7999999998</v>
      </c>
      <c r="N10" s="90">
        <v>2203430.4700000002</v>
      </c>
      <c r="O10" s="328">
        <v>37139804.450000003</v>
      </c>
      <c r="P10" s="329">
        <v>38083220</v>
      </c>
      <c r="Q10" s="517">
        <v>40215780</v>
      </c>
    </row>
    <row r="11" spans="1:17" ht="12.75" customHeight="1" x14ac:dyDescent="0.25">
      <c r="A11" s="36" t="s">
        <v>845</v>
      </c>
      <c r="B11" s="37"/>
      <c r="C11" s="531">
        <v>0</v>
      </c>
      <c r="D11" s="329">
        <v>0</v>
      </c>
      <c r="E11" s="329">
        <v>0</v>
      </c>
      <c r="F11" s="329">
        <v>0</v>
      </c>
      <c r="G11" s="329">
        <v>0</v>
      </c>
      <c r="H11" s="329">
        <v>0</v>
      </c>
      <c r="I11" s="329">
        <v>0</v>
      </c>
      <c r="J11" s="329">
        <v>0</v>
      </c>
      <c r="K11" s="329">
        <v>0</v>
      </c>
      <c r="L11" s="329">
        <v>0</v>
      </c>
      <c r="M11" s="329">
        <v>0</v>
      </c>
      <c r="N11" s="90">
        <v>0</v>
      </c>
      <c r="O11" s="328"/>
      <c r="P11" s="329">
        <v>0</v>
      </c>
      <c r="Q11" s="517">
        <v>0</v>
      </c>
    </row>
    <row r="12" spans="1:17" ht="12.75" customHeight="1" x14ac:dyDescent="0.25">
      <c r="A12" s="36" t="s">
        <v>978</v>
      </c>
      <c r="B12" s="37"/>
      <c r="C12" s="531">
        <v>679591</v>
      </c>
      <c r="D12" s="329">
        <v>739751</v>
      </c>
      <c r="E12" s="329">
        <v>807309.49</v>
      </c>
      <c r="F12" s="329">
        <v>775540.71</v>
      </c>
      <c r="G12" s="329">
        <v>644944.29</v>
      </c>
      <c r="H12" s="329">
        <v>553876</v>
      </c>
      <c r="I12" s="329">
        <v>694299</v>
      </c>
      <c r="J12" s="329">
        <v>686245</v>
      </c>
      <c r="K12" s="329">
        <v>480703.09</v>
      </c>
      <c r="L12" s="329">
        <v>570516</v>
      </c>
      <c r="M12" s="329">
        <v>2574579</v>
      </c>
      <c r="N12" s="90">
        <v>637815</v>
      </c>
      <c r="O12" s="328">
        <v>8841690</v>
      </c>
      <c r="P12" s="329">
        <v>9189000</v>
      </c>
      <c r="Q12" s="517">
        <v>9036300</v>
      </c>
    </row>
    <row r="13" spans="1:17" ht="12.75" customHeight="1" x14ac:dyDescent="0.25">
      <c r="A13" s="36" t="s">
        <v>848</v>
      </c>
      <c r="B13" s="37"/>
      <c r="C13" s="531">
        <v>937102</v>
      </c>
      <c r="D13" s="329">
        <v>701400.59</v>
      </c>
      <c r="E13" s="329">
        <v>901999.89</v>
      </c>
      <c r="F13" s="329">
        <v>1006632.16</v>
      </c>
      <c r="G13" s="329">
        <v>928134.52</v>
      </c>
      <c r="H13" s="329">
        <v>701765</v>
      </c>
      <c r="I13" s="329">
        <v>1247236</v>
      </c>
      <c r="J13" s="329">
        <v>1074465</v>
      </c>
      <c r="K13" s="329">
        <v>787847.63</v>
      </c>
      <c r="L13" s="329">
        <v>945774</v>
      </c>
      <c r="M13" s="329">
        <v>1078796</v>
      </c>
      <c r="N13" s="90">
        <v>944200</v>
      </c>
      <c r="O13" s="328">
        <v>11225400</v>
      </c>
      <c r="P13" s="329">
        <v>13806000</v>
      </c>
      <c r="Q13" s="517">
        <v>14579200</v>
      </c>
    </row>
    <row r="14" spans="1:17" ht="12.75" customHeight="1" x14ac:dyDescent="0.25">
      <c r="A14" s="36" t="s">
        <v>849</v>
      </c>
      <c r="B14" s="37"/>
      <c r="C14" s="531">
        <v>397136</v>
      </c>
      <c r="D14" s="329">
        <v>346778</v>
      </c>
      <c r="E14" s="329">
        <v>340150.08</v>
      </c>
      <c r="F14" s="329">
        <v>347429.93</v>
      </c>
      <c r="G14" s="329">
        <v>354416.32</v>
      </c>
      <c r="H14" s="329">
        <v>349808</v>
      </c>
      <c r="I14" s="329">
        <v>365070</v>
      </c>
      <c r="J14" s="329">
        <v>394369</v>
      </c>
      <c r="K14" s="329">
        <v>399435.17</v>
      </c>
      <c r="L14" s="329">
        <v>334088</v>
      </c>
      <c r="M14" s="329">
        <v>425420</v>
      </c>
      <c r="N14" s="90">
        <v>400349</v>
      </c>
      <c r="O14" s="328">
        <v>5921488</v>
      </c>
      <c r="P14" s="329">
        <v>3038390</v>
      </c>
      <c r="Q14" s="517">
        <v>3208300</v>
      </c>
    </row>
    <row r="15" spans="1:17" ht="12.75" customHeight="1" x14ac:dyDescent="0.25">
      <c r="A15" s="36" t="s">
        <v>936</v>
      </c>
      <c r="B15" s="37"/>
      <c r="C15" s="531">
        <v>0</v>
      </c>
      <c r="D15" s="329">
        <v>0</v>
      </c>
      <c r="E15" s="329">
        <v>0</v>
      </c>
      <c r="F15" s="329">
        <v>0</v>
      </c>
      <c r="G15" s="329">
        <v>0</v>
      </c>
      <c r="H15" s="329">
        <v>0</v>
      </c>
      <c r="I15" s="329">
        <v>0</v>
      </c>
      <c r="J15" s="329">
        <v>0</v>
      </c>
      <c r="K15" s="329">
        <v>0</v>
      </c>
      <c r="L15" s="329">
        <v>0</v>
      </c>
      <c r="M15" s="329">
        <v>0</v>
      </c>
      <c r="N15" s="90">
        <v>0</v>
      </c>
      <c r="O15" s="328"/>
      <c r="P15" s="329">
        <v>0</v>
      </c>
      <c r="Q15" s="517">
        <v>0</v>
      </c>
    </row>
    <row r="16" spans="1:17" ht="12.75" customHeight="1" x14ac:dyDescent="0.25">
      <c r="A16" s="36" t="s">
        <v>1150</v>
      </c>
      <c r="B16" s="37"/>
      <c r="C16" s="531">
        <v>1469480</v>
      </c>
      <c r="D16" s="329">
        <v>1161427</v>
      </c>
      <c r="E16" s="329">
        <v>1060471.94</v>
      </c>
      <c r="F16" s="329">
        <v>2013039.8299999998</v>
      </c>
      <c r="G16" s="329">
        <v>1606107.17</v>
      </c>
      <c r="H16" s="329">
        <v>499889</v>
      </c>
      <c r="I16" s="329">
        <v>533910.91</v>
      </c>
      <c r="J16" s="329">
        <v>627762.68999999994</v>
      </c>
      <c r="K16" s="329">
        <v>797470.88000000082</v>
      </c>
      <c r="L16" s="329">
        <v>472830.42</v>
      </c>
      <c r="M16" s="329">
        <v>577841.48</v>
      </c>
      <c r="N16" s="90">
        <v>1181097.23</v>
      </c>
      <c r="O16" s="328">
        <v>26623525.599999998</v>
      </c>
      <c r="P16" s="329">
        <v>25398097</v>
      </c>
      <c r="Q16" s="517">
        <v>23521566</v>
      </c>
    </row>
    <row r="17" spans="1:17" ht="12.75" customHeight="1" x14ac:dyDescent="0.25">
      <c r="A17" s="36" t="s">
        <v>850</v>
      </c>
      <c r="B17" s="37"/>
      <c r="C17" s="531">
        <v>173342</v>
      </c>
      <c r="D17" s="329">
        <v>260392</v>
      </c>
      <c r="E17" s="329">
        <v>210131.5</v>
      </c>
      <c r="F17" s="329">
        <v>332774.87</v>
      </c>
      <c r="G17" s="329">
        <v>247118.02</v>
      </c>
      <c r="H17" s="329">
        <v>196648</v>
      </c>
      <c r="I17" s="329">
        <v>231266</v>
      </c>
      <c r="J17" s="329">
        <v>252320</v>
      </c>
      <c r="K17" s="329">
        <v>234467.44</v>
      </c>
      <c r="L17" s="329">
        <v>208152</v>
      </c>
      <c r="M17" s="329">
        <v>204813</v>
      </c>
      <c r="N17" s="90">
        <v>399159</v>
      </c>
      <c r="O17" s="328">
        <v>3423800</v>
      </c>
      <c r="P17" s="329">
        <v>3615600</v>
      </c>
      <c r="Q17" s="517">
        <v>3818100</v>
      </c>
    </row>
    <row r="18" spans="1:17" ht="12.75" customHeight="1" x14ac:dyDescent="0.25">
      <c r="A18" s="36" t="s">
        <v>592</v>
      </c>
      <c r="B18" s="37"/>
      <c r="C18" s="531">
        <v>575942</v>
      </c>
      <c r="D18" s="329">
        <v>683367</v>
      </c>
      <c r="E18" s="329">
        <v>490156.79999999999</v>
      </c>
      <c r="F18" s="329">
        <v>873350.31</v>
      </c>
      <c r="G18" s="329">
        <v>310435.21000000002</v>
      </c>
      <c r="H18" s="329">
        <v>1131098</v>
      </c>
      <c r="I18" s="329">
        <v>624188</v>
      </c>
      <c r="J18" s="329">
        <v>862541</v>
      </c>
      <c r="K18" s="329">
        <v>583457.38</v>
      </c>
      <c r="L18" s="329">
        <v>0</v>
      </c>
      <c r="M18" s="329">
        <v>1513068</v>
      </c>
      <c r="N18" s="90">
        <v>702705</v>
      </c>
      <c r="O18" s="328">
        <v>7793100</v>
      </c>
      <c r="P18" s="329">
        <v>8229500</v>
      </c>
      <c r="Q18" s="517">
        <v>8690400</v>
      </c>
    </row>
    <row r="19" spans="1:17" ht="12.75" customHeight="1" x14ac:dyDescent="0.25">
      <c r="A19" s="36" t="s">
        <v>135</v>
      </c>
      <c r="B19" s="37"/>
      <c r="C19" s="531">
        <v>45407000</v>
      </c>
      <c r="D19" s="329">
        <v>5935952.2000000002</v>
      </c>
      <c r="E19" s="329">
        <v>0</v>
      </c>
      <c r="F19" s="329">
        <v>1181265.6299999999</v>
      </c>
      <c r="G19" s="329">
        <v>5384667</v>
      </c>
      <c r="H19" s="329">
        <v>36426000</v>
      </c>
      <c r="I19" s="329">
        <v>1871447.74</v>
      </c>
      <c r="J19" s="329">
        <v>4026341.26</v>
      </c>
      <c r="K19" s="329">
        <v>28578000</v>
      </c>
      <c r="L19" s="329">
        <v>500000</v>
      </c>
      <c r="M19" s="329">
        <v>1745290.77</v>
      </c>
      <c r="N19" s="90">
        <v>2550000</v>
      </c>
      <c r="O19" s="328">
        <v>143812698</v>
      </c>
      <c r="P19" s="329">
        <v>177724000</v>
      </c>
      <c r="Q19" s="517">
        <v>161766000</v>
      </c>
    </row>
    <row r="20" spans="1:17" ht="12.75" customHeight="1" x14ac:dyDescent="0.25">
      <c r="A20" s="36" t="s">
        <v>460</v>
      </c>
      <c r="B20" s="37"/>
      <c r="C20" s="531">
        <v>10141987.26</v>
      </c>
      <c r="D20" s="329">
        <v>19629732.870000001</v>
      </c>
      <c r="E20" s="329">
        <v>15724813.610000007</v>
      </c>
      <c r="F20" s="329">
        <v>28232567.399999999</v>
      </c>
      <c r="G20" s="329">
        <v>11790855.33</v>
      </c>
      <c r="H20" s="329">
        <v>9299951.2799999993</v>
      </c>
      <c r="I20" s="329">
        <v>9458499.2699999996</v>
      </c>
      <c r="J20" s="329">
        <v>8664859.6300000008</v>
      </c>
      <c r="K20" s="329">
        <v>8956740.8900000006</v>
      </c>
      <c r="L20" s="329">
        <v>8912608.7799999993</v>
      </c>
      <c r="M20" s="329">
        <v>17505363.100000001</v>
      </c>
      <c r="N20" s="90">
        <v>12634509.039999999</v>
      </c>
      <c r="O20" s="328">
        <v>10155721</v>
      </c>
      <c r="P20" s="329">
        <v>10505900</v>
      </c>
      <c r="Q20" s="517">
        <v>11094200</v>
      </c>
    </row>
    <row r="21" spans="1:17" ht="12.75" customHeight="1" x14ac:dyDescent="0.25">
      <c r="A21" s="77" t="s">
        <v>948</v>
      </c>
      <c r="B21" s="48"/>
      <c r="C21" s="380">
        <f t="shared" ref="C21:Q21" si="0">SUM(C6:C20)</f>
        <v>109212895.54000001</v>
      </c>
      <c r="D21" s="356">
        <f t="shared" si="0"/>
        <v>92835966.760000005</v>
      </c>
      <c r="E21" s="356">
        <f t="shared" si="0"/>
        <v>75981443.370000005</v>
      </c>
      <c r="F21" s="356">
        <f t="shared" si="0"/>
        <v>95734652.75999999</v>
      </c>
      <c r="G21" s="356">
        <f t="shared" si="0"/>
        <v>70728157.390000001</v>
      </c>
      <c r="H21" s="356">
        <f t="shared" si="0"/>
        <v>97987308.159999996</v>
      </c>
      <c r="I21" s="356">
        <f t="shared" si="0"/>
        <v>76279832.079999998</v>
      </c>
      <c r="J21" s="356">
        <f t="shared" si="0"/>
        <v>67170564.679999992</v>
      </c>
      <c r="K21" s="356">
        <f t="shared" si="0"/>
        <v>92560565.840000018</v>
      </c>
      <c r="L21" s="356">
        <f t="shared" si="0"/>
        <v>67175117.229999989</v>
      </c>
      <c r="M21" s="356">
        <f t="shared" si="0"/>
        <v>84020395.75999999</v>
      </c>
      <c r="N21" s="400">
        <f t="shared" si="0"/>
        <v>72601890.650000006</v>
      </c>
      <c r="O21" s="380">
        <f t="shared" si="0"/>
        <v>912297635.10000014</v>
      </c>
      <c r="P21" s="356">
        <f t="shared" si="0"/>
        <v>1002385804.9</v>
      </c>
      <c r="Q21" s="403">
        <f t="shared" si="0"/>
        <v>1030235574.55</v>
      </c>
    </row>
    <row r="22" spans="1:17" ht="5.0999999999999996" customHeight="1" x14ac:dyDescent="0.25">
      <c r="A22" s="39"/>
      <c r="B22" s="37"/>
      <c r="C22" s="221"/>
      <c r="D22" s="41"/>
      <c r="E22" s="41"/>
      <c r="F22" s="41"/>
      <c r="G22" s="41"/>
      <c r="H22" s="41"/>
      <c r="I22" s="41"/>
      <c r="J22" s="41"/>
      <c r="K22" s="41"/>
      <c r="L22" s="41"/>
      <c r="M22" s="41"/>
      <c r="N22" s="90"/>
      <c r="O22" s="43"/>
      <c r="P22" s="41"/>
      <c r="Q22" s="119"/>
    </row>
    <row r="23" spans="1:17" ht="12.75" customHeight="1" x14ac:dyDescent="0.25">
      <c r="A23" s="38" t="s">
        <v>736</v>
      </c>
      <c r="B23" s="37"/>
      <c r="C23" s="221"/>
      <c r="D23" s="41"/>
      <c r="E23" s="41"/>
      <c r="F23" s="41"/>
      <c r="G23" s="41"/>
      <c r="H23" s="41"/>
      <c r="I23" s="41"/>
      <c r="J23" s="41"/>
      <c r="K23" s="41"/>
      <c r="L23" s="41"/>
      <c r="M23" s="41"/>
      <c r="N23" s="90"/>
      <c r="O23" s="43"/>
      <c r="P23" s="41"/>
      <c r="Q23" s="119"/>
    </row>
    <row r="24" spans="1:17" ht="12.75" customHeight="1" x14ac:dyDescent="0.25">
      <c r="A24" s="36" t="s">
        <v>136</v>
      </c>
      <c r="B24" s="37"/>
      <c r="C24" s="531">
        <v>12500000</v>
      </c>
      <c r="D24" s="329">
        <v>500000</v>
      </c>
      <c r="E24" s="329">
        <v>0</v>
      </c>
      <c r="F24" s="329">
        <v>2500000</v>
      </c>
      <c r="G24" s="329">
        <v>2200000</v>
      </c>
      <c r="H24" s="329">
        <v>0</v>
      </c>
      <c r="I24" s="329">
        <v>9000000</v>
      </c>
      <c r="J24" s="329">
        <v>1000000</v>
      </c>
      <c r="K24" s="329">
        <v>70669386.959999993</v>
      </c>
      <c r="L24" s="329">
        <v>14810000</v>
      </c>
      <c r="M24" s="329">
        <v>0</v>
      </c>
      <c r="N24" s="90">
        <v>0</v>
      </c>
      <c r="O24" s="328">
        <v>148883296</v>
      </c>
      <c r="P24" s="329">
        <v>101882000</v>
      </c>
      <c r="Q24" s="517">
        <v>79281999</v>
      </c>
    </row>
    <row r="25" spans="1:17" ht="12.75" customHeight="1" x14ac:dyDescent="0.25">
      <c r="A25" s="36" t="s">
        <v>918</v>
      </c>
      <c r="B25" s="37"/>
      <c r="C25" s="531">
        <v>0</v>
      </c>
      <c r="D25" s="329">
        <v>0</v>
      </c>
      <c r="E25" s="329">
        <v>0</v>
      </c>
      <c r="F25" s="329">
        <v>0</v>
      </c>
      <c r="G25" s="329">
        <v>0</v>
      </c>
      <c r="H25" s="329">
        <v>0</v>
      </c>
      <c r="I25" s="329">
        <v>0</v>
      </c>
      <c r="J25" s="329">
        <v>0</v>
      </c>
      <c r="K25" s="329">
        <v>0</v>
      </c>
      <c r="L25" s="329">
        <v>0</v>
      </c>
      <c r="M25" s="329">
        <v>0</v>
      </c>
      <c r="N25" s="90">
        <v>0</v>
      </c>
      <c r="O25" s="328">
        <v>500000</v>
      </c>
      <c r="P25" s="329">
        <v>0</v>
      </c>
      <c r="Q25" s="517">
        <v>0</v>
      </c>
    </row>
    <row r="26" spans="1:17" ht="12.75" customHeight="1" x14ac:dyDescent="0.25">
      <c r="A26" s="36" t="s">
        <v>937</v>
      </c>
      <c r="B26" s="37"/>
      <c r="C26" s="531">
        <v>0</v>
      </c>
      <c r="D26" s="329">
        <v>0</v>
      </c>
      <c r="E26" s="329">
        <v>0</v>
      </c>
      <c r="F26" s="329">
        <v>0</v>
      </c>
      <c r="G26" s="329">
        <v>0</v>
      </c>
      <c r="H26" s="329">
        <v>0</v>
      </c>
      <c r="I26" s="329">
        <v>0</v>
      </c>
      <c r="J26" s="329">
        <v>0</v>
      </c>
      <c r="K26" s="329">
        <v>0</v>
      </c>
      <c r="L26" s="329">
        <v>0</v>
      </c>
      <c r="M26" s="329">
        <v>0</v>
      </c>
      <c r="N26" s="90">
        <f t="shared" ref="N26:N32" si="1">O26-SUM(C26:M26)</f>
        <v>0</v>
      </c>
      <c r="O26" s="328">
        <v>0</v>
      </c>
      <c r="P26" s="329">
        <v>0</v>
      </c>
      <c r="Q26" s="517">
        <v>0</v>
      </c>
    </row>
    <row r="27" spans="1:17" ht="12.75" customHeight="1" x14ac:dyDescent="0.25">
      <c r="A27" s="36" t="s">
        <v>914</v>
      </c>
      <c r="B27" s="37"/>
      <c r="C27" s="531">
        <v>0</v>
      </c>
      <c r="D27" s="329">
        <v>0</v>
      </c>
      <c r="E27" s="329">
        <v>0</v>
      </c>
      <c r="F27" s="329">
        <v>0</v>
      </c>
      <c r="G27" s="329">
        <v>0</v>
      </c>
      <c r="H27" s="329">
        <v>0</v>
      </c>
      <c r="I27" s="329">
        <v>0</v>
      </c>
      <c r="J27" s="329">
        <v>0</v>
      </c>
      <c r="K27" s="329">
        <v>0</v>
      </c>
      <c r="L27" s="329">
        <v>0</v>
      </c>
      <c r="M27" s="329">
        <v>0</v>
      </c>
      <c r="N27" s="90">
        <f t="shared" si="1"/>
        <v>0</v>
      </c>
      <c r="O27" s="328">
        <v>0</v>
      </c>
      <c r="P27" s="329">
        <v>0</v>
      </c>
      <c r="Q27" s="517">
        <v>0</v>
      </c>
    </row>
    <row r="28" spans="1:17" ht="12.75" customHeight="1" x14ac:dyDescent="0.25">
      <c r="A28" s="36" t="s">
        <v>973</v>
      </c>
      <c r="B28" s="37"/>
      <c r="C28" s="531">
        <v>0</v>
      </c>
      <c r="D28" s="329">
        <v>0</v>
      </c>
      <c r="E28" s="329">
        <v>0</v>
      </c>
      <c r="F28" s="329">
        <v>0</v>
      </c>
      <c r="G28" s="329">
        <v>0</v>
      </c>
      <c r="H28" s="329">
        <v>0</v>
      </c>
      <c r="I28" s="329">
        <v>0</v>
      </c>
      <c r="J28" s="329">
        <v>0</v>
      </c>
      <c r="K28" s="329">
        <v>0</v>
      </c>
      <c r="L28" s="329">
        <v>0</v>
      </c>
      <c r="M28" s="329">
        <v>0</v>
      </c>
      <c r="N28" s="90">
        <f t="shared" si="1"/>
        <v>0</v>
      </c>
      <c r="O28" s="328">
        <v>0</v>
      </c>
      <c r="P28" s="329">
        <v>0</v>
      </c>
      <c r="Q28" s="517">
        <v>0</v>
      </c>
    </row>
    <row r="29" spans="1:17" ht="12.75" customHeight="1" x14ac:dyDescent="0.25">
      <c r="A29" s="36" t="s">
        <v>847</v>
      </c>
      <c r="B29" s="37"/>
      <c r="C29" s="531">
        <v>4069</v>
      </c>
      <c r="D29" s="329">
        <v>4080</v>
      </c>
      <c r="E29" s="329">
        <v>4100</v>
      </c>
      <c r="F29" s="329">
        <v>4250</v>
      </c>
      <c r="G29" s="329">
        <v>4300</v>
      </c>
      <c r="H29" s="329">
        <v>4000</v>
      </c>
      <c r="I29" s="329">
        <v>25443</v>
      </c>
      <c r="J29" s="329">
        <v>-176103</v>
      </c>
      <c r="K29" s="329">
        <v>4300</v>
      </c>
      <c r="L29" s="329">
        <v>0</v>
      </c>
      <c r="M29" s="329">
        <v>240544</v>
      </c>
      <c r="N29" s="90">
        <v>-69363</v>
      </c>
      <c r="O29" s="328">
        <v>50000</v>
      </c>
      <c r="P29" s="329">
        <v>50000</v>
      </c>
      <c r="Q29" s="517">
        <v>50000</v>
      </c>
    </row>
    <row r="30" spans="1:17" ht="12.75" customHeight="1" x14ac:dyDescent="0.25">
      <c r="A30" s="36" t="s">
        <v>75</v>
      </c>
      <c r="B30" s="37"/>
      <c r="C30" s="531">
        <v>0</v>
      </c>
      <c r="D30" s="329">
        <v>0</v>
      </c>
      <c r="E30" s="329">
        <v>0</v>
      </c>
      <c r="F30" s="329">
        <v>0</v>
      </c>
      <c r="G30" s="329">
        <v>0</v>
      </c>
      <c r="H30" s="329">
        <v>0</v>
      </c>
      <c r="I30" s="329">
        <v>0</v>
      </c>
      <c r="J30" s="329">
        <v>0</v>
      </c>
      <c r="K30" s="329">
        <v>0</v>
      </c>
      <c r="L30" s="329">
        <v>0</v>
      </c>
      <c r="M30" s="329">
        <v>0</v>
      </c>
      <c r="N30" s="90">
        <v>0</v>
      </c>
      <c r="O30" s="328">
        <v>0</v>
      </c>
      <c r="P30" s="329">
        <v>0</v>
      </c>
      <c r="Q30" s="517">
        <v>0</v>
      </c>
    </row>
    <row r="31" spans="1:17" ht="12.75" customHeight="1" x14ac:dyDescent="0.25">
      <c r="A31" s="36" t="s">
        <v>76</v>
      </c>
      <c r="B31" s="37"/>
      <c r="C31" s="531">
        <v>5500</v>
      </c>
      <c r="D31" s="329">
        <v>5500</v>
      </c>
      <c r="E31" s="329">
        <v>3000</v>
      </c>
      <c r="F31" s="329">
        <v>5000</v>
      </c>
      <c r="G31" s="329">
        <v>9000</v>
      </c>
      <c r="H31" s="329">
        <v>100</v>
      </c>
      <c r="I31" s="329">
        <v>0</v>
      </c>
      <c r="J31" s="329">
        <v>-8778</v>
      </c>
      <c r="K31" s="329">
        <v>9000</v>
      </c>
      <c r="L31" s="329">
        <v>870</v>
      </c>
      <c r="M31" s="329">
        <v>33439</v>
      </c>
      <c r="N31" s="90">
        <v>4340</v>
      </c>
      <c r="O31" s="328">
        <v>50000</v>
      </c>
      <c r="P31" s="329">
        <v>50000</v>
      </c>
      <c r="Q31" s="517">
        <v>50000</v>
      </c>
    </row>
    <row r="32" spans="1:17" ht="12.75" customHeight="1" x14ac:dyDescent="0.25">
      <c r="A32" s="36" t="s">
        <v>74</v>
      </c>
      <c r="B32" s="37"/>
      <c r="C32" s="531">
        <v>0</v>
      </c>
      <c r="D32" s="329">
        <v>0</v>
      </c>
      <c r="E32" s="329">
        <v>0</v>
      </c>
      <c r="F32" s="329">
        <v>0</v>
      </c>
      <c r="G32" s="329">
        <v>0</v>
      </c>
      <c r="H32" s="329">
        <v>0</v>
      </c>
      <c r="I32" s="329">
        <v>0</v>
      </c>
      <c r="J32" s="329">
        <v>0</v>
      </c>
      <c r="K32" s="329">
        <v>0</v>
      </c>
      <c r="L32" s="329">
        <v>0</v>
      </c>
      <c r="M32" s="329">
        <v>0</v>
      </c>
      <c r="N32" s="90">
        <f t="shared" si="1"/>
        <v>0</v>
      </c>
      <c r="O32" s="328">
        <v>0</v>
      </c>
      <c r="P32" s="329">
        <v>0</v>
      </c>
      <c r="Q32" s="517">
        <v>0</v>
      </c>
    </row>
    <row r="33" spans="1:17" ht="12.75" customHeight="1" x14ac:dyDescent="0.25">
      <c r="A33" s="81" t="s">
        <v>931</v>
      </c>
      <c r="B33" s="272"/>
      <c r="C33" s="223">
        <f t="shared" ref="C33:Q33" si="2">SUM(C21:C32)</f>
        <v>121722464.54000001</v>
      </c>
      <c r="D33" s="65">
        <f t="shared" si="2"/>
        <v>93345546.760000005</v>
      </c>
      <c r="E33" s="65">
        <f t="shared" si="2"/>
        <v>75988543.370000005</v>
      </c>
      <c r="F33" s="65">
        <f t="shared" si="2"/>
        <v>98243902.75999999</v>
      </c>
      <c r="G33" s="65">
        <f t="shared" si="2"/>
        <v>72941457.390000001</v>
      </c>
      <c r="H33" s="65">
        <f t="shared" si="2"/>
        <v>97991408.159999996</v>
      </c>
      <c r="I33" s="65">
        <f t="shared" si="2"/>
        <v>85305275.079999998</v>
      </c>
      <c r="J33" s="65">
        <f t="shared" si="2"/>
        <v>67985683.679999992</v>
      </c>
      <c r="K33" s="65">
        <f t="shared" si="2"/>
        <v>163243252.80000001</v>
      </c>
      <c r="L33" s="65">
        <f t="shared" si="2"/>
        <v>81985987.229999989</v>
      </c>
      <c r="M33" s="65">
        <f t="shared" si="2"/>
        <v>84294378.75999999</v>
      </c>
      <c r="N33" s="273">
        <f t="shared" si="2"/>
        <v>72536867.650000006</v>
      </c>
      <c r="O33" s="66">
        <f t="shared" si="2"/>
        <v>1061780931.1000001</v>
      </c>
      <c r="P33" s="65">
        <f t="shared" si="2"/>
        <v>1104367804.9000001</v>
      </c>
      <c r="Q33" s="120">
        <f t="shared" si="2"/>
        <v>1109617573.55</v>
      </c>
    </row>
    <row r="34" spans="1:17" ht="5.0999999999999996" customHeight="1" x14ac:dyDescent="0.25">
      <c r="A34" s="39"/>
      <c r="B34" s="37"/>
      <c r="C34" s="221"/>
      <c r="D34" s="41"/>
      <c r="E34" s="41"/>
      <c r="F34" s="41"/>
      <c r="G34" s="41"/>
      <c r="H34" s="41"/>
      <c r="I34" s="41"/>
      <c r="J34" s="41"/>
      <c r="K34" s="41"/>
      <c r="L34" s="41"/>
      <c r="M34" s="41"/>
      <c r="N34" s="90"/>
      <c r="O34" s="43"/>
      <c r="P34" s="41"/>
      <c r="Q34" s="119"/>
    </row>
    <row r="35" spans="1:17" ht="12.75" customHeight="1" x14ac:dyDescent="0.25">
      <c r="A35" s="32" t="s">
        <v>949</v>
      </c>
      <c r="B35" s="37"/>
      <c r="C35" s="221"/>
      <c r="D35" s="41"/>
      <c r="E35" s="41"/>
      <c r="F35" s="41"/>
      <c r="G35" s="41"/>
      <c r="H35" s="41"/>
      <c r="I35" s="41"/>
      <c r="J35" s="41"/>
      <c r="K35" s="41"/>
      <c r="L35" s="41"/>
      <c r="M35" s="41"/>
      <c r="N35" s="90"/>
      <c r="O35" s="43"/>
      <c r="P35" s="41"/>
      <c r="Q35" s="119"/>
    </row>
    <row r="36" spans="1:17" ht="12.75" customHeight="1" x14ac:dyDescent="0.25">
      <c r="A36" s="36" t="s">
        <v>852</v>
      </c>
      <c r="B36" s="37"/>
      <c r="C36" s="531">
        <v>21193377</v>
      </c>
      <c r="D36" s="329">
        <v>20685768</v>
      </c>
      <c r="E36" s="329">
        <v>24486608</v>
      </c>
      <c r="F36" s="329">
        <v>22540853.789999999</v>
      </c>
      <c r="G36" s="329">
        <v>23315483</v>
      </c>
      <c r="H36" s="329">
        <v>23816799</v>
      </c>
      <c r="I36" s="329">
        <v>23645077</v>
      </c>
      <c r="J36" s="329">
        <v>23845077</v>
      </c>
      <c r="K36" s="329">
        <v>21984487</v>
      </c>
      <c r="L36" s="329">
        <v>23343940</v>
      </c>
      <c r="M36" s="329">
        <v>23195118</v>
      </c>
      <c r="N36" s="90">
        <v>23766346</v>
      </c>
      <c r="O36" s="328">
        <v>282019074.99999994</v>
      </c>
      <c r="P36" s="329">
        <v>333551138</v>
      </c>
      <c r="Q36" s="517">
        <v>353848777</v>
      </c>
    </row>
    <row r="37" spans="1:17" ht="12.75" customHeight="1" x14ac:dyDescent="0.25">
      <c r="A37" s="36" t="s">
        <v>481</v>
      </c>
      <c r="B37" s="37"/>
      <c r="C37" s="531">
        <v>1403961</v>
      </c>
      <c r="D37" s="329">
        <v>1408323</v>
      </c>
      <c r="E37" s="329">
        <v>1408323</v>
      </c>
      <c r="F37" s="329">
        <v>1408323.49</v>
      </c>
      <c r="G37" s="329">
        <v>1438969.59</v>
      </c>
      <c r="H37" s="329">
        <v>1432378</v>
      </c>
      <c r="I37" s="329">
        <v>1434119</v>
      </c>
      <c r="J37" s="329">
        <v>1434119</v>
      </c>
      <c r="K37" s="329">
        <v>1883627</v>
      </c>
      <c r="L37" s="329">
        <v>1483662</v>
      </c>
      <c r="M37" s="329">
        <v>1483662</v>
      </c>
      <c r="N37" s="90">
        <v>1443688</v>
      </c>
      <c r="O37" s="328">
        <v>18128959</v>
      </c>
      <c r="P37" s="329">
        <v>19488624</v>
      </c>
      <c r="Q37" s="517">
        <v>20900343</v>
      </c>
    </row>
    <row r="38" spans="1:17" ht="12.75" customHeight="1" x14ac:dyDescent="0.25">
      <c r="A38" s="36" t="s">
        <v>854</v>
      </c>
      <c r="B38" s="37"/>
      <c r="C38" s="531"/>
      <c r="D38" s="329"/>
      <c r="E38" s="329">
        <v>12638730.580000002</v>
      </c>
      <c r="F38" s="329"/>
      <c r="G38" s="329">
        <v>0</v>
      </c>
      <c r="H38" s="329"/>
      <c r="I38" s="329"/>
      <c r="J38" s="329"/>
      <c r="K38" s="329">
        <v>12312581.75</v>
      </c>
      <c r="L38" s="329"/>
      <c r="M38" s="329"/>
      <c r="N38" s="90">
        <v>0</v>
      </c>
      <c r="O38" s="328">
        <v>24505128</v>
      </c>
      <c r="P38" s="329">
        <v>24175559.600000001</v>
      </c>
      <c r="Q38" s="517">
        <v>23047579.23</v>
      </c>
    </row>
    <row r="39" spans="1:17" ht="12.75" customHeight="1" x14ac:dyDescent="0.25">
      <c r="A39" s="36" t="s">
        <v>930</v>
      </c>
      <c r="B39" s="37"/>
      <c r="C39" s="531">
        <v>31044614.98</v>
      </c>
      <c r="D39" s="329">
        <v>34510113</v>
      </c>
      <c r="E39" s="329">
        <v>35153050.729999997</v>
      </c>
      <c r="F39" s="329">
        <v>19999496.27</v>
      </c>
      <c r="G39" s="329">
        <v>21138998</v>
      </c>
      <c r="H39" s="329">
        <v>20075019</v>
      </c>
      <c r="I39" s="329">
        <v>18848849</v>
      </c>
      <c r="J39" s="329">
        <v>20458220</v>
      </c>
      <c r="K39" s="329">
        <v>19676842</v>
      </c>
      <c r="L39" s="329">
        <v>19906951</v>
      </c>
      <c r="M39" s="329">
        <v>19633051</v>
      </c>
      <c r="N39" s="90">
        <v>20534156</v>
      </c>
      <c r="O39" s="328">
        <v>279492523</v>
      </c>
      <c r="P39" s="329">
        <v>295704106</v>
      </c>
      <c r="Q39" s="517">
        <v>312856019</v>
      </c>
    </row>
    <row r="40" spans="1:17" ht="12.75" customHeight="1" x14ac:dyDescent="0.25">
      <c r="A40" s="36" t="s">
        <v>933</v>
      </c>
      <c r="B40" s="37"/>
      <c r="C40" s="531">
        <v>364412.26</v>
      </c>
      <c r="D40" s="329">
        <v>472760.06</v>
      </c>
      <c r="E40" s="329">
        <v>350000</v>
      </c>
      <c r="F40" s="329">
        <v>199100</v>
      </c>
      <c r="G40" s="329">
        <v>474796</v>
      </c>
      <c r="H40" s="329">
        <v>585971</v>
      </c>
      <c r="I40" s="329">
        <v>579779</v>
      </c>
      <c r="J40" s="329">
        <v>732794</v>
      </c>
      <c r="K40" s="329">
        <v>824511</v>
      </c>
      <c r="L40" s="329">
        <v>444453</v>
      </c>
      <c r="M40" s="329">
        <v>579331</v>
      </c>
      <c r="N40" s="90">
        <v>630508</v>
      </c>
      <c r="O40" s="328">
        <v>2399390</v>
      </c>
      <c r="P40" s="329">
        <v>2533756</v>
      </c>
      <c r="Q40" s="517">
        <v>2675646.5049600103</v>
      </c>
    </row>
    <row r="41" spans="1:17" ht="12.75" customHeight="1" x14ac:dyDescent="0.25">
      <c r="A41" s="36" t="s">
        <v>935</v>
      </c>
      <c r="B41" s="37"/>
      <c r="C41" s="531">
        <v>747325</v>
      </c>
      <c r="D41" s="329">
        <v>1298282</v>
      </c>
      <c r="E41" s="329">
        <v>1598855.68</v>
      </c>
      <c r="F41" s="329">
        <v>1964293.41</v>
      </c>
      <c r="G41" s="329">
        <v>1663179.9</v>
      </c>
      <c r="H41" s="329">
        <v>3671705</v>
      </c>
      <c r="I41" s="329">
        <v>1591134</v>
      </c>
      <c r="J41" s="329">
        <v>1887430</v>
      </c>
      <c r="K41" s="329">
        <v>2892386.31</v>
      </c>
      <c r="L41" s="329">
        <v>2235474</v>
      </c>
      <c r="M41" s="329">
        <v>1531021</v>
      </c>
      <c r="N41" s="90">
        <v>5234612</v>
      </c>
      <c r="O41" s="328">
        <v>26358542</v>
      </c>
      <c r="P41" s="329">
        <v>12262561</v>
      </c>
      <c r="Q41" s="517">
        <v>12949347</v>
      </c>
    </row>
    <row r="42" spans="1:17" ht="12.75" customHeight="1" x14ac:dyDescent="0.25">
      <c r="A42" s="36" t="s">
        <v>856</v>
      </c>
      <c r="B42" s="37"/>
      <c r="C42" s="531">
        <v>297408</v>
      </c>
      <c r="D42" s="329">
        <v>3931606</v>
      </c>
      <c r="E42" s="329">
        <v>4255167.57</v>
      </c>
      <c r="F42" s="329">
        <v>5954755.0700000003</v>
      </c>
      <c r="G42" s="329">
        <v>6018559.54</v>
      </c>
      <c r="H42" s="329">
        <v>7092018</v>
      </c>
      <c r="I42" s="329">
        <v>4071858</v>
      </c>
      <c r="J42" s="329">
        <v>5699684</v>
      </c>
      <c r="K42" s="329">
        <v>5964516.04</v>
      </c>
      <c r="L42" s="329">
        <v>6745441</v>
      </c>
      <c r="M42" s="329">
        <v>5714214</v>
      </c>
      <c r="N42" s="90">
        <v>11300958</v>
      </c>
      <c r="O42" s="328">
        <v>88781071</v>
      </c>
      <c r="P42" s="329">
        <v>117085599</v>
      </c>
      <c r="Q42" s="517">
        <v>122447567</v>
      </c>
    </row>
    <row r="43" spans="1:17" ht="12.75" customHeight="1" x14ac:dyDescent="0.25">
      <c r="A43" s="36" t="s">
        <v>939</v>
      </c>
      <c r="B43" s="37"/>
      <c r="C43" s="531">
        <v>0</v>
      </c>
      <c r="D43" s="329">
        <v>0</v>
      </c>
      <c r="E43" s="329">
        <v>0</v>
      </c>
      <c r="F43" s="329">
        <v>0</v>
      </c>
      <c r="G43" s="329">
        <v>0</v>
      </c>
      <c r="H43" s="329">
        <v>0</v>
      </c>
      <c r="I43" s="329">
        <v>0</v>
      </c>
      <c r="J43" s="329">
        <v>0</v>
      </c>
      <c r="K43" s="329">
        <v>0</v>
      </c>
      <c r="L43" s="329">
        <v>0</v>
      </c>
      <c r="M43" s="329">
        <v>0</v>
      </c>
      <c r="N43" s="90">
        <v>0</v>
      </c>
      <c r="O43" s="328">
        <v>0</v>
      </c>
      <c r="P43" s="329">
        <v>0</v>
      </c>
      <c r="Q43" s="517">
        <v>0</v>
      </c>
    </row>
    <row r="44" spans="1:17" ht="12.75" customHeight="1" x14ac:dyDescent="0.25">
      <c r="A44" s="36" t="s">
        <v>940</v>
      </c>
      <c r="B44" s="37"/>
      <c r="C44" s="531">
        <v>0</v>
      </c>
      <c r="D44" s="329">
        <v>281175</v>
      </c>
      <c r="E44" s="329">
        <v>468839</v>
      </c>
      <c r="F44" s="329">
        <v>304413.01</v>
      </c>
      <c r="G44" s="329">
        <v>234619.09</v>
      </c>
      <c r="H44" s="329">
        <v>630628</v>
      </c>
      <c r="I44" s="329">
        <v>184688</v>
      </c>
      <c r="J44" s="329">
        <v>267784</v>
      </c>
      <c r="K44" s="329">
        <v>548520.87</v>
      </c>
      <c r="L44" s="329">
        <v>352998</v>
      </c>
      <c r="M44" s="329">
        <v>664413</v>
      </c>
      <c r="N44" s="90">
        <v>976534</v>
      </c>
      <c r="O44" s="328">
        <v>19658127</v>
      </c>
      <c r="P44" s="329">
        <v>50515647</v>
      </c>
      <c r="Q44" s="517">
        <v>23339722.326181475</v>
      </c>
    </row>
    <row r="45" spans="1:17" ht="12.75" customHeight="1" x14ac:dyDescent="0.25">
      <c r="A45" s="36" t="s">
        <v>857</v>
      </c>
      <c r="B45" s="37"/>
      <c r="C45" s="531">
        <v>51266566.399999999</v>
      </c>
      <c r="D45" s="329">
        <v>25383876.390000001</v>
      </c>
      <c r="E45" s="329">
        <v>21619852.469999999</v>
      </c>
      <c r="F45" s="329">
        <v>17784251.73</v>
      </c>
      <c r="G45" s="329">
        <v>15942264.859999999</v>
      </c>
      <c r="H45" s="329">
        <v>16380279.880000001</v>
      </c>
      <c r="I45" s="329">
        <v>10928023.51</v>
      </c>
      <c r="J45" s="329">
        <v>4896883.71</v>
      </c>
      <c r="K45" s="329">
        <v>29351669.16</v>
      </c>
      <c r="L45" s="329">
        <v>6509641.9800000004</v>
      </c>
      <c r="M45" s="329">
        <v>21280583.239999998</v>
      </c>
      <c r="N45" s="90">
        <v>22436996.460000001</v>
      </c>
      <c r="O45" s="328">
        <v>80080449</v>
      </c>
      <c r="P45" s="329">
        <v>82306729</v>
      </c>
      <c r="Q45" s="517">
        <v>90281292</v>
      </c>
    </row>
    <row r="46" spans="1:17" ht="12.75" customHeight="1" x14ac:dyDescent="0.25">
      <c r="A46" s="77" t="s">
        <v>949</v>
      </c>
      <c r="B46" s="48">
        <f>SUM(B36:B45)</f>
        <v>0</v>
      </c>
      <c r="C46" s="380">
        <f>SUM(C36:C45)</f>
        <v>106317664.64</v>
      </c>
      <c r="D46" s="356">
        <f t="shared" ref="D46:Q46" si="3">SUM(D36:D45)</f>
        <v>87971903.450000003</v>
      </c>
      <c r="E46" s="356">
        <f t="shared" si="3"/>
        <v>101979427.03</v>
      </c>
      <c r="F46" s="356">
        <f t="shared" si="3"/>
        <v>70155486.769999996</v>
      </c>
      <c r="G46" s="356">
        <f t="shared" si="3"/>
        <v>70226869.980000004</v>
      </c>
      <c r="H46" s="356">
        <f t="shared" si="3"/>
        <v>73684797.879999995</v>
      </c>
      <c r="I46" s="356">
        <f t="shared" si="3"/>
        <v>61283527.509999998</v>
      </c>
      <c r="J46" s="356">
        <f t="shared" si="3"/>
        <v>59221991.710000001</v>
      </c>
      <c r="K46" s="356">
        <f t="shared" si="3"/>
        <v>95439141.129999995</v>
      </c>
      <c r="L46" s="356">
        <f t="shared" si="3"/>
        <v>61022560.980000004</v>
      </c>
      <c r="M46" s="356">
        <f t="shared" si="3"/>
        <v>74081393.239999995</v>
      </c>
      <c r="N46" s="400">
        <f t="shared" si="3"/>
        <v>86323798.460000008</v>
      </c>
      <c r="O46" s="380">
        <f t="shared" si="3"/>
        <v>821423264</v>
      </c>
      <c r="P46" s="356">
        <f t="shared" si="3"/>
        <v>937623719.60000002</v>
      </c>
      <c r="Q46" s="403">
        <f t="shared" si="3"/>
        <v>962346293.06114161</v>
      </c>
    </row>
    <row r="47" spans="1:17" ht="5.0999999999999996" customHeight="1" x14ac:dyDescent="0.25">
      <c r="A47" s="39"/>
      <c r="B47" s="37"/>
      <c r="C47" s="221"/>
      <c r="D47" s="41"/>
      <c r="E47" s="41"/>
      <c r="F47" s="41"/>
      <c r="G47" s="41"/>
      <c r="H47" s="41"/>
      <c r="I47" s="41"/>
      <c r="J47" s="41"/>
      <c r="K47" s="41"/>
      <c r="L47" s="41"/>
      <c r="M47" s="41"/>
      <c r="N47" s="90"/>
      <c r="O47" s="43"/>
      <c r="P47" s="41"/>
      <c r="Q47" s="119"/>
    </row>
    <row r="48" spans="1:17" ht="12.75" customHeight="1" x14ac:dyDescent="0.25">
      <c r="A48" s="77" t="s">
        <v>679</v>
      </c>
      <c r="B48" s="37"/>
      <c r="C48" s="221"/>
      <c r="D48" s="41"/>
      <c r="E48" s="41"/>
      <c r="F48" s="41"/>
      <c r="G48" s="41"/>
      <c r="H48" s="41"/>
      <c r="I48" s="41"/>
      <c r="J48" s="41"/>
      <c r="K48" s="41"/>
      <c r="L48" s="41"/>
      <c r="M48" s="41"/>
      <c r="N48" s="90"/>
      <c r="O48" s="43"/>
      <c r="P48" s="41"/>
      <c r="Q48" s="119"/>
    </row>
    <row r="49" spans="1:17" ht="12.75" customHeight="1" x14ac:dyDescent="0.25">
      <c r="A49" s="36" t="s">
        <v>710</v>
      </c>
      <c r="B49" s="37"/>
      <c r="C49" s="531">
        <v>2062645.29</v>
      </c>
      <c r="D49" s="329">
        <v>7723687</v>
      </c>
      <c r="E49" s="329">
        <v>4086536.7700000005</v>
      </c>
      <c r="F49" s="329">
        <v>21347841.450000003</v>
      </c>
      <c r="G49" s="329">
        <v>23254937</v>
      </c>
      <c r="H49" s="329">
        <v>5478736</v>
      </c>
      <c r="I49" s="329">
        <v>11559469</v>
      </c>
      <c r="J49" s="329">
        <v>5921847</v>
      </c>
      <c r="K49" s="329">
        <v>80220938.629999995</v>
      </c>
      <c r="L49" s="329">
        <v>4454383</v>
      </c>
      <c r="M49" s="329">
        <v>15548167</v>
      </c>
      <c r="N49" s="90">
        <v>28743511</v>
      </c>
      <c r="O49" s="328">
        <v>272453658.22000003</v>
      </c>
      <c r="P49" s="329">
        <v>141203156</v>
      </c>
      <c r="Q49" s="517">
        <v>134240332</v>
      </c>
    </row>
    <row r="50" spans="1:17" ht="12.75" customHeight="1" x14ac:dyDescent="0.25">
      <c r="A50" s="36" t="s">
        <v>913</v>
      </c>
      <c r="B50" s="37"/>
      <c r="C50" s="531">
        <v>0</v>
      </c>
      <c r="D50" s="329">
        <v>0</v>
      </c>
      <c r="E50" s="329">
        <v>4550432.62</v>
      </c>
      <c r="F50" s="329">
        <v>0</v>
      </c>
      <c r="G50" s="329">
        <v>0</v>
      </c>
      <c r="H50" s="329">
        <v>0</v>
      </c>
      <c r="I50" s="329">
        <v>0</v>
      </c>
      <c r="J50" s="329">
        <v>0</v>
      </c>
      <c r="K50" s="329">
        <v>4876626.38</v>
      </c>
      <c r="L50" s="329">
        <v>0</v>
      </c>
      <c r="M50" s="329">
        <v>0</v>
      </c>
      <c r="N50" s="90">
        <v>0</v>
      </c>
      <c r="O50" s="328">
        <v>7834971.6799999997</v>
      </c>
      <c r="P50" s="329">
        <v>8656555.1899999995</v>
      </c>
      <c r="Q50" s="517">
        <v>9737648.1799999997</v>
      </c>
    </row>
    <row r="51" spans="1:17" ht="12.75" customHeight="1" x14ac:dyDescent="0.25">
      <c r="A51" s="36" t="s">
        <v>2</v>
      </c>
      <c r="B51" s="37"/>
      <c r="C51" s="531">
        <v>0</v>
      </c>
      <c r="D51" s="329">
        <v>0</v>
      </c>
      <c r="E51" s="329">
        <v>0</v>
      </c>
      <c r="F51" s="329">
        <v>0</v>
      </c>
      <c r="G51" s="329">
        <v>0</v>
      </c>
      <c r="H51" s="329">
        <v>0</v>
      </c>
      <c r="I51" s="329">
        <v>0</v>
      </c>
      <c r="J51" s="329">
        <v>0</v>
      </c>
      <c r="K51" s="329">
        <v>0</v>
      </c>
      <c r="L51" s="329">
        <v>0</v>
      </c>
      <c r="M51" s="329">
        <v>0</v>
      </c>
      <c r="N51" s="90">
        <f>O51-SUM(C51:M51)</f>
        <v>0</v>
      </c>
      <c r="O51" s="328">
        <v>0</v>
      </c>
      <c r="P51" s="329">
        <v>0</v>
      </c>
      <c r="Q51" s="517">
        <v>0</v>
      </c>
    </row>
    <row r="52" spans="1:17" ht="12.75" customHeight="1" x14ac:dyDescent="0.25">
      <c r="A52" s="81" t="s">
        <v>932</v>
      </c>
      <c r="B52" s="272">
        <f t="shared" ref="B52:Q52" si="4">SUM(B46:B51)</f>
        <v>0</v>
      </c>
      <c r="C52" s="223">
        <f t="shared" si="4"/>
        <v>108380309.93000001</v>
      </c>
      <c r="D52" s="65">
        <f t="shared" si="4"/>
        <v>95695590.450000003</v>
      </c>
      <c r="E52" s="65">
        <f t="shared" si="4"/>
        <v>110616396.42</v>
      </c>
      <c r="F52" s="65">
        <f t="shared" si="4"/>
        <v>91503328.219999999</v>
      </c>
      <c r="G52" s="65">
        <f t="shared" si="4"/>
        <v>93481806.980000004</v>
      </c>
      <c r="H52" s="65">
        <f t="shared" si="4"/>
        <v>79163533.879999995</v>
      </c>
      <c r="I52" s="65">
        <f t="shared" si="4"/>
        <v>72842996.50999999</v>
      </c>
      <c r="J52" s="65">
        <f t="shared" si="4"/>
        <v>65143838.710000001</v>
      </c>
      <c r="K52" s="65">
        <f t="shared" si="4"/>
        <v>180536706.13999999</v>
      </c>
      <c r="L52" s="65">
        <f t="shared" si="4"/>
        <v>65476943.980000004</v>
      </c>
      <c r="M52" s="65">
        <f t="shared" si="4"/>
        <v>89629560.239999995</v>
      </c>
      <c r="N52" s="273">
        <f t="shared" si="4"/>
        <v>115067309.46000001</v>
      </c>
      <c r="O52" s="66">
        <f t="shared" si="4"/>
        <v>1101711893.9000001</v>
      </c>
      <c r="P52" s="65">
        <f t="shared" si="4"/>
        <v>1087483430.79</v>
      </c>
      <c r="Q52" s="120">
        <f t="shared" si="4"/>
        <v>1106324273.2411416</v>
      </c>
    </row>
    <row r="53" spans="1:17" ht="5.0999999999999996" customHeight="1" x14ac:dyDescent="0.25">
      <c r="A53" s="39"/>
      <c r="B53" s="37"/>
      <c r="C53" s="221"/>
      <c r="D53" s="41"/>
      <c r="E53" s="41"/>
      <c r="F53" s="41"/>
      <c r="G53" s="41"/>
      <c r="H53" s="41"/>
      <c r="I53" s="41"/>
      <c r="J53" s="41"/>
      <c r="K53" s="41"/>
      <c r="L53" s="41"/>
      <c r="M53" s="41"/>
      <c r="N53" s="90"/>
      <c r="O53" s="43"/>
      <c r="P53" s="41"/>
      <c r="Q53" s="119"/>
    </row>
    <row r="54" spans="1:17" ht="12.75" customHeight="1" x14ac:dyDescent="0.25">
      <c r="A54" s="269" t="s">
        <v>585</v>
      </c>
      <c r="B54" s="48">
        <f t="shared" ref="B54:Q54" si="5">B33-B52</f>
        <v>0</v>
      </c>
      <c r="C54" s="222">
        <f t="shared" si="5"/>
        <v>13342154.609999999</v>
      </c>
      <c r="D54" s="46">
        <f t="shared" si="5"/>
        <v>-2350043.6899999976</v>
      </c>
      <c r="E54" s="46">
        <f t="shared" si="5"/>
        <v>-34627853.049999997</v>
      </c>
      <c r="F54" s="46">
        <f t="shared" si="5"/>
        <v>6740574.5399999917</v>
      </c>
      <c r="G54" s="46">
        <f t="shared" si="5"/>
        <v>-20540349.590000004</v>
      </c>
      <c r="H54" s="46">
        <f t="shared" si="5"/>
        <v>18827874.280000001</v>
      </c>
      <c r="I54" s="46">
        <f t="shared" si="5"/>
        <v>12462278.570000008</v>
      </c>
      <c r="J54" s="46">
        <f t="shared" si="5"/>
        <v>2841844.9699999914</v>
      </c>
      <c r="K54" s="46">
        <f t="shared" si="5"/>
        <v>-17293453.339999974</v>
      </c>
      <c r="L54" s="46">
        <f t="shared" si="5"/>
        <v>16509043.249999985</v>
      </c>
      <c r="M54" s="46">
        <f t="shared" si="5"/>
        <v>-5335181.4800000042</v>
      </c>
      <c r="N54" s="92">
        <f t="shared" si="5"/>
        <v>-42530441.810000002</v>
      </c>
      <c r="O54" s="47">
        <f t="shared" si="5"/>
        <v>-39930962.799999952</v>
      </c>
      <c r="P54" s="46">
        <f t="shared" si="5"/>
        <v>16884374.110000134</v>
      </c>
      <c r="Q54" s="159">
        <f t="shared" si="5"/>
        <v>3293300.3088583946</v>
      </c>
    </row>
    <row r="55" spans="1:17" ht="12.75" customHeight="1" x14ac:dyDescent="0.25">
      <c r="A55" s="36" t="s">
        <v>579</v>
      </c>
      <c r="B55" s="37"/>
      <c r="C55" s="531">
        <v>150450738.5</v>
      </c>
      <c r="D55" s="41">
        <f>C56</f>
        <v>163792893.11000001</v>
      </c>
      <c r="E55" s="41">
        <f t="shared" ref="E55:N55" si="6">D56</f>
        <v>161442849.42000002</v>
      </c>
      <c r="F55" s="41">
        <f t="shared" si="6"/>
        <v>126814996.37000002</v>
      </c>
      <c r="G55" s="41">
        <f t="shared" si="6"/>
        <v>133555570.91000001</v>
      </c>
      <c r="H55" s="41">
        <f t="shared" si="6"/>
        <v>113015221.32000001</v>
      </c>
      <c r="I55" s="41">
        <f t="shared" si="6"/>
        <v>131843095.60000001</v>
      </c>
      <c r="J55" s="41">
        <f t="shared" si="6"/>
        <v>144305374.17000002</v>
      </c>
      <c r="K55" s="41">
        <f t="shared" si="6"/>
        <v>147147219.14000002</v>
      </c>
      <c r="L55" s="41">
        <f t="shared" si="6"/>
        <v>129853765.80000004</v>
      </c>
      <c r="M55" s="41">
        <f t="shared" si="6"/>
        <v>146362809.05000001</v>
      </c>
      <c r="N55" s="90">
        <f t="shared" si="6"/>
        <v>141027627.56999999</v>
      </c>
      <c r="O55" s="43">
        <f>C55</f>
        <v>150450738.5</v>
      </c>
      <c r="P55" s="41">
        <f>O56</f>
        <v>110519775.70000005</v>
      </c>
      <c r="Q55" s="119">
        <f>P56</f>
        <v>127404149.81000018</v>
      </c>
    </row>
    <row r="56" spans="1:17" ht="12.75" customHeight="1" x14ac:dyDescent="0.25">
      <c r="A56" s="106" t="s">
        <v>680</v>
      </c>
      <c r="B56" s="147"/>
      <c r="C56" s="254">
        <f>C54+C55</f>
        <v>163792893.11000001</v>
      </c>
      <c r="D56" s="95">
        <f>D54+D55</f>
        <v>161442849.42000002</v>
      </c>
      <c r="E56" s="95">
        <f t="shared" ref="E56:N56" si="7">E54+E55</f>
        <v>126814996.37000002</v>
      </c>
      <c r="F56" s="95">
        <f t="shared" si="7"/>
        <v>133555570.91000001</v>
      </c>
      <c r="G56" s="95">
        <f t="shared" si="7"/>
        <v>113015221.32000001</v>
      </c>
      <c r="H56" s="95">
        <f t="shared" si="7"/>
        <v>131843095.60000001</v>
      </c>
      <c r="I56" s="95">
        <f t="shared" si="7"/>
        <v>144305374.17000002</v>
      </c>
      <c r="J56" s="95">
        <f t="shared" si="7"/>
        <v>147147219.14000002</v>
      </c>
      <c r="K56" s="95">
        <f t="shared" si="7"/>
        <v>129853765.80000004</v>
      </c>
      <c r="L56" s="95">
        <f t="shared" si="7"/>
        <v>146362809.05000001</v>
      </c>
      <c r="M56" s="95">
        <f t="shared" si="7"/>
        <v>141027627.56999999</v>
      </c>
      <c r="N56" s="271">
        <f t="shared" si="7"/>
        <v>98497185.75999999</v>
      </c>
      <c r="O56" s="96">
        <f>O54+O55</f>
        <v>110519775.70000005</v>
      </c>
      <c r="P56" s="95">
        <f>P54+P55</f>
        <v>127404149.81000018</v>
      </c>
      <c r="Q56" s="156">
        <f>Q54+Q55</f>
        <v>130697450.11885858</v>
      </c>
    </row>
    <row r="57" spans="1:17" ht="12.75" hidden="1" customHeight="1" x14ac:dyDescent="0.25">
      <c r="A57" s="53" t="str">
        <f>head27a</f>
        <v>References</v>
      </c>
    </row>
    <row r="58" spans="1:17" ht="12.75" hidden="1" customHeight="1" x14ac:dyDescent="0.25">
      <c r="A58" s="72" t="s">
        <v>51</v>
      </c>
    </row>
    <row r="59" spans="1:17" ht="12.75" hidden="1" customHeight="1" x14ac:dyDescent="0.25">
      <c r="A59" s="72" t="s">
        <v>52</v>
      </c>
    </row>
    <row r="60" spans="1:17" ht="12.75" hidden="1" customHeight="1" x14ac:dyDescent="0.25">
      <c r="A60" s="56" t="s">
        <v>77</v>
      </c>
    </row>
    <row r="61" spans="1:17" ht="12.75" hidden="1" customHeight="1" x14ac:dyDescent="0.25"/>
    <row r="62" spans="1:17" ht="10.5" hidden="1" customHeight="1" x14ac:dyDescent="0.25"/>
    <row r="64" spans="1:17" x14ac:dyDescent="0.25">
      <c r="E64" s="76"/>
      <c r="F64" s="76"/>
      <c r="G64" s="76"/>
      <c r="H64" s="76"/>
      <c r="I64" s="76"/>
      <c r="J64" s="76"/>
      <c r="K64" s="76"/>
      <c r="L64" s="76"/>
      <c r="M64" s="76"/>
    </row>
    <row r="65" spans="3:17" x14ac:dyDescent="0.25">
      <c r="C65" s="76">
        <f t="shared" ref="C65:D65" si="8">C46+C64</f>
        <v>106317664.64</v>
      </c>
      <c r="D65" s="76">
        <f t="shared" si="8"/>
        <v>87971903.450000003</v>
      </c>
      <c r="E65" s="76">
        <f t="shared" ref="E65" si="9">E46+E64</f>
        <v>101979427.03</v>
      </c>
      <c r="F65" s="76">
        <f t="shared" ref="F65:Q65" si="10">F46+F64</f>
        <v>70155486.769999996</v>
      </c>
      <c r="G65" s="76">
        <f t="shared" si="10"/>
        <v>70226869.980000004</v>
      </c>
      <c r="H65" s="76">
        <f t="shared" si="10"/>
        <v>73684797.879999995</v>
      </c>
      <c r="I65" s="76">
        <f>I46+I64</f>
        <v>61283527.509999998</v>
      </c>
      <c r="J65" s="76">
        <f t="shared" si="10"/>
        <v>59221991.710000001</v>
      </c>
      <c r="K65" s="76">
        <f t="shared" si="10"/>
        <v>95439141.129999995</v>
      </c>
      <c r="L65" s="76">
        <f t="shared" si="10"/>
        <v>61022560.980000004</v>
      </c>
      <c r="M65" s="76">
        <f t="shared" si="10"/>
        <v>74081393.239999995</v>
      </c>
      <c r="N65" s="76">
        <f t="shared" si="10"/>
        <v>86323798.460000008</v>
      </c>
      <c r="O65" s="76">
        <f t="shared" si="10"/>
        <v>821423264</v>
      </c>
      <c r="P65" s="76">
        <f t="shared" si="10"/>
        <v>937623719.60000002</v>
      </c>
      <c r="Q65" s="76">
        <f t="shared" si="10"/>
        <v>962346293.06114161</v>
      </c>
    </row>
    <row r="66" spans="3:17" x14ac:dyDescent="0.25">
      <c r="C66" s="76">
        <f t="shared" ref="C66:D66" si="11">C54-C64</f>
        <v>13342154.609999999</v>
      </c>
      <c r="D66" s="76">
        <f t="shared" si="11"/>
        <v>-2350043.6899999976</v>
      </c>
      <c r="E66" s="76">
        <f t="shared" ref="E66" si="12">E54-E64</f>
        <v>-34627853.049999997</v>
      </c>
      <c r="F66" s="76">
        <f t="shared" ref="F66:Q66" si="13">F54-F64</f>
        <v>6740574.5399999917</v>
      </c>
      <c r="G66" s="76">
        <f t="shared" si="13"/>
        <v>-20540349.590000004</v>
      </c>
      <c r="H66" s="76">
        <f t="shared" si="13"/>
        <v>18827874.280000001</v>
      </c>
      <c r="I66" s="76">
        <f t="shared" si="13"/>
        <v>12462278.570000008</v>
      </c>
      <c r="J66" s="76">
        <f t="shared" si="13"/>
        <v>2841844.9699999914</v>
      </c>
      <c r="K66" s="76">
        <f t="shared" si="13"/>
        <v>-17293453.339999974</v>
      </c>
      <c r="L66" s="76">
        <f t="shared" si="13"/>
        <v>16509043.249999985</v>
      </c>
      <c r="M66" s="76">
        <f t="shared" si="13"/>
        <v>-5335181.4800000042</v>
      </c>
      <c r="N66" s="76">
        <f t="shared" si="13"/>
        <v>-42530441.810000002</v>
      </c>
      <c r="O66" s="76">
        <f t="shared" si="13"/>
        <v>-39930962.799999952</v>
      </c>
      <c r="P66" s="76">
        <f t="shared" si="13"/>
        <v>16884374.110000134</v>
      </c>
      <c r="Q66" s="76">
        <f t="shared" si="13"/>
        <v>3293300.3088583946</v>
      </c>
    </row>
  </sheetData>
  <mergeCells count="7">
    <mergeCell ref="P3:P4"/>
    <mergeCell ref="Q3:Q4"/>
    <mergeCell ref="A2:A3"/>
    <mergeCell ref="O3:O4"/>
    <mergeCell ref="B2:B3"/>
    <mergeCell ref="C2:N2"/>
    <mergeCell ref="O2:Q2"/>
  </mergeCells>
  <phoneticPr fontId="3" type="noConversion"/>
  <printOptions horizontalCentered="1"/>
  <pageMargins left="0.19685039370078741" right="0.19685039370078741" top="0.39370078740157483" bottom="0.39370078740157483" header="0.51181102362204722" footer="0.39370078740157483"/>
  <pageSetup paperSize="9" scale="72" orientation="landscape" r:id="rId1"/>
  <headerFooter alignWithMargins="0"/>
  <ignoredErrors>
    <ignoredError sqref="N26:O28 O22:O23 O34:O35 N48:O48 O47 N54:O55 O53 N21:O21 N46:O46 N51:O52 N32:O33 O29:O31"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5">
    <tabColor indexed="42"/>
    <pageSetUpPr fitToPage="1"/>
  </sheetPr>
  <dimension ref="A1:K46"/>
  <sheetViews>
    <sheetView showGridLines="0" view="pageBreakPreview" zoomScaleNormal="100" zoomScaleSheetLayoutView="100" workbookViewId="0">
      <pane xSplit="2" ySplit="4" topLeftCell="C5" activePane="bottomRight" state="frozen"/>
      <selection pane="topRight"/>
      <selection pane="bottomLeft"/>
      <selection pane="bottomRight" sqref="A1:K1"/>
    </sheetView>
  </sheetViews>
  <sheetFormatPr defaultColWidth="9.140625" defaultRowHeight="12.75" x14ac:dyDescent="0.25"/>
  <cols>
    <col min="1" max="1" width="35.7109375" style="22" customWidth="1"/>
    <col min="2" max="2" width="3.140625" style="54" customWidth="1"/>
    <col min="3" max="8" width="8.7109375" style="22" customWidth="1"/>
    <col min="9" max="10" width="6.7109375" style="22" customWidth="1"/>
    <col min="11" max="11" width="8.7109375" style="22" customWidth="1"/>
    <col min="12" max="12" width="9.85546875" style="22" customWidth="1"/>
    <col min="13" max="13" width="9.5703125" style="22" customWidth="1"/>
    <col min="14" max="14" width="9.85546875" style="22" customWidth="1"/>
    <col min="15" max="17" width="9.5703125" style="22" customWidth="1"/>
    <col min="18" max="18" width="9.85546875" style="22" customWidth="1"/>
    <col min="19" max="21" width="9.5703125" style="22" customWidth="1"/>
    <col min="22" max="23" width="9.85546875" style="22" customWidth="1"/>
    <col min="24" max="16384" width="9.140625" style="22"/>
  </cols>
  <sheetData>
    <row r="1" spans="1:11" ht="13.5" x14ac:dyDescent="0.25">
      <c r="A1" s="1003" t="str">
        <f>muni&amp; " - "&amp;S71P&amp; " - "&amp;Head57</f>
        <v>WC025 Breede Valley - NOT REQUIRED - municipality does not have entities or this is the parent municipality's budget - Q4 Fourth Quarter</v>
      </c>
      <c r="B1" s="1003"/>
      <c r="C1" s="1003"/>
      <c r="D1" s="1003"/>
      <c r="E1" s="1003"/>
      <c r="F1" s="1003"/>
      <c r="G1" s="1003"/>
      <c r="H1" s="1003"/>
      <c r="I1" s="1003"/>
      <c r="J1" s="1003"/>
      <c r="K1" s="1003"/>
    </row>
    <row r="2" spans="1:11" x14ac:dyDescent="0.25">
      <c r="A2" s="980" t="str">
        <f>desc</f>
        <v>Description</v>
      </c>
      <c r="B2" s="973" t="str">
        <f>head27</f>
        <v>Ref</v>
      </c>
      <c r="C2" s="115" t="str">
        <f>Head1</f>
        <v>2017/18</v>
      </c>
      <c r="D2" s="208" t="str">
        <f>Head2</f>
        <v>Budget Year 2018/19</v>
      </c>
      <c r="E2" s="192"/>
      <c r="F2" s="192"/>
      <c r="G2" s="192"/>
      <c r="H2" s="192"/>
      <c r="I2" s="192"/>
      <c r="J2" s="192"/>
      <c r="K2" s="193"/>
    </row>
    <row r="3" spans="1:11" ht="25.5" x14ac:dyDescent="0.25">
      <c r="A3" s="981"/>
      <c r="B3" s="987"/>
      <c r="C3" s="132" t="str">
        <f>Head5</f>
        <v>Audited Outcome</v>
      </c>
      <c r="D3" s="164" t="str">
        <f>Head6</f>
        <v>Original Budget</v>
      </c>
      <c r="E3" s="116" t="str">
        <f>Head7</f>
        <v>Adjusted Budget</v>
      </c>
      <c r="F3" s="116" t="str">
        <f>Head38</f>
        <v>Monthly actual</v>
      </c>
      <c r="G3" s="116" t="str">
        <f>Head39</f>
        <v>YearTD actual</v>
      </c>
      <c r="H3" s="116" t="str">
        <f>Head40</f>
        <v>YearTD budget</v>
      </c>
      <c r="I3" s="116" t="str">
        <f>Head41</f>
        <v>YTD variance</v>
      </c>
      <c r="J3" s="170" t="str">
        <f>Head41</f>
        <v>YTD variance</v>
      </c>
      <c r="K3" s="137" t="str">
        <f>Head8</f>
        <v>Full Year Forecast</v>
      </c>
    </row>
    <row r="4" spans="1:11" ht="12.75" customHeight="1" x14ac:dyDescent="0.25">
      <c r="A4" s="246" t="s">
        <v>678</v>
      </c>
      <c r="B4" s="211">
        <v>1</v>
      </c>
      <c r="C4" s="247"/>
      <c r="D4" s="248"/>
      <c r="E4" s="249"/>
      <c r="F4" s="250"/>
      <c r="G4" s="250"/>
      <c r="H4" s="250"/>
      <c r="I4" s="250"/>
      <c r="J4" s="251" t="s">
        <v>586</v>
      </c>
      <c r="K4" s="252"/>
    </row>
    <row r="5" spans="1:11" ht="12.75" customHeight="1" x14ac:dyDescent="0.25">
      <c r="A5" s="32" t="str">
        <f>'C4-FinPerf RE'!A5</f>
        <v>Revenue By Source</v>
      </c>
      <c r="B5" s="142"/>
      <c r="C5" s="111"/>
      <c r="D5" s="43"/>
      <c r="E5" s="41"/>
      <c r="F5" s="41"/>
      <c r="G5" s="41"/>
      <c r="H5" s="41"/>
      <c r="I5" s="41"/>
      <c r="J5" s="41"/>
      <c r="K5" s="119"/>
    </row>
    <row r="6" spans="1:11" ht="12.75" customHeight="1" x14ac:dyDescent="0.25">
      <c r="A6" s="36" t="str">
        <f>'C4-FinPerf RE'!A6</f>
        <v>Property rates</v>
      </c>
      <c r="B6" s="142"/>
      <c r="C6" s="526"/>
      <c r="D6" s="328"/>
      <c r="E6" s="329"/>
      <c r="F6" s="329"/>
      <c r="G6" s="329"/>
      <c r="H6" s="329"/>
      <c r="I6" s="41">
        <f t="shared" ref="I6:I21" si="0">G6-H6</f>
        <v>0</v>
      </c>
      <c r="J6" s="165" t="str">
        <f>IF(I6=0,"",I6/H6)</f>
        <v/>
      </c>
      <c r="K6" s="517"/>
    </row>
    <row r="7" spans="1:11" ht="12.75" customHeight="1" x14ac:dyDescent="0.25">
      <c r="A7" s="36" t="str">
        <f>'C4-FinPerf RE'!A7</f>
        <v>Service charges - electricity revenue</v>
      </c>
      <c r="B7" s="142"/>
      <c r="C7" s="526"/>
      <c r="D7" s="328"/>
      <c r="E7" s="329"/>
      <c r="F7" s="329"/>
      <c r="G7" s="329"/>
      <c r="H7" s="329"/>
      <c r="I7" s="41">
        <f t="shared" si="0"/>
        <v>0</v>
      </c>
      <c r="J7" s="165" t="str">
        <f t="shared" ref="J7:J22" si="1">IF(I7=0,"",I7/H7)</f>
        <v/>
      </c>
      <c r="K7" s="517"/>
    </row>
    <row r="8" spans="1:11" ht="12.75" customHeight="1" x14ac:dyDescent="0.25">
      <c r="A8" s="36" t="str">
        <f>'C4-FinPerf RE'!A8</f>
        <v>Service charges - water revenue</v>
      </c>
      <c r="B8" s="142"/>
      <c r="C8" s="526"/>
      <c r="D8" s="328"/>
      <c r="E8" s="329"/>
      <c r="F8" s="329"/>
      <c r="G8" s="329"/>
      <c r="H8" s="329"/>
      <c r="I8" s="41">
        <f t="shared" si="0"/>
        <v>0</v>
      </c>
      <c r="J8" s="165" t="str">
        <f t="shared" si="1"/>
        <v/>
      </c>
      <c r="K8" s="517"/>
    </row>
    <row r="9" spans="1:11" ht="12.75" customHeight="1" x14ac:dyDescent="0.25">
      <c r="A9" s="36" t="str">
        <f>'C4-FinPerf RE'!A9</f>
        <v>Service charges - sanitation revenue</v>
      </c>
      <c r="B9" s="142"/>
      <c r="C9" s="526"/>
      <c r="D9" s="328"/>
      <c r="E9" s="329"/>
      <c r="F9" s="329"/>
      <c r="G9" s="329"/>
      <c r="H9" s="329"/>
      <c r="I9" s="41">
        <f t="shared" si="0"/>
        <v>0</v>
      </c>
      <c r="J9" s="165" t="str">
        <f t="shared" si="1"/>
        <v/>
      </c>
      <c r="K9" s="517"/>
    </row>
    <row r="10" spans="1:11" ht="12.75" customHeight="1" x14ac:dyDescent="0.25">
      <c r="A10" s="36" t="str">
        <f>'C4-FinPerf RE'!A10</f>
        <v>Service charges - refuse revenue</v>
      </c>
      <c r="B10" s="142"/>
      <c r="C10" s="526"/>
      <c r="D10" s="328"/>
      <c r="E10" s="329"/>
      <c r="F10" s="329"/>
      <c r="G10" s="329"/>
      <c r="H10" s="329"/>
      <c r="I10" s="41">
        <f t="shared" si="0"/>
        <v>0</v>
      </c>
      <c r="J10" s="165" t="str">
        <f t="shared" si="1"/>
        <v/>
      </c>
      <c r="K10" s="517"/>
    </row>
    <row r="11" spans="1:11" ht="12.75" customHeight="1" x14ac:dyDescent="0.25">
      <c r="A11" s="36" t="str">
        <f>'C4-FinPerf RE'!A11</f>
        <v>Service charges - other</v>
      </c>
      <c r="B11" s="142"/>
      <c r="C11" s="526"/>
      <c r="D11" s="328"/>
      <c r="E11" s="329"/>
      <c r="F11" s="329"/>
      <c r="G11" s="329"/>
      <c r="H11" s="329"/>
      <c r="I11" s="41">
        <f t="shared" si="0"/>
        <v>0</v>
      </c>
      <c r="J11" s="165" t="str">
        <f t="shared" si="1"/>
        <v/>
      </c>
      <c r="K11" s="517"/>
    </row>
    <row r="12" spans="1:11" ht="12.75" customHeight="1" x14ac:dyDescent="0.25">
      <c r="A12" s="36" t="str">
        <f>'C4-FinPerf RE'!A12</f>
        <v>Rental of facilities and equipment</v>
      </c>
      <c r="B12" s="142"/>
      <c r="C12" s="526"/>
      <c r="D12" s="328"/>
      <c r="E12" s="329"/>
      <c r="F12" s="329"/>
      <c r="G12" s="329"/>
      <c r="H12" s="329"/>
      <c r="I12" s="41">
        <f t="shared" si="0"/>
        <v>0</v>
      </c>
      <c r="J12" s="165" t="str">
        <f t="shared" si="1"/>
        <v/>
      </c>
      <c r="K12" s="517"/>
    </row>
    <row r="13" spans="1:11" ht="12.75" customHeight="1" x14ac:dyDescent="0.25">
      <c r="A13" s="36" t="str">
        <f>'C4-FinPerf RE'!A13</f>
        <v>Interest earned - external investments</v>
      </c>
      <c r="B13" s="142"/>
      <c r="C13" s="526"/>
      <c r="D13" s="328"/>
      <c r="E13" s="329"/>
      <c r="F13" s="329"/>
      <c r="G13" s="329"/>
      <c r="H13" s="329"/>
      <c r="I13" s="41">
        <f t="shared" si="0"/>
        <v>0</v>
      </c>
      <c r="J13" s="165" t="str">
        <f t="shared" si="1"/>
        <v/>
      </c>
      <c r="K13" s="517"/>
    </row>
    <row r="14" spans="1:11" ht="12.75" customHeight="1" x14ac:dyDescent="0.25">
      <c r="A14" s="36" t="str">
        <f>'C4-FinPerf RE'!A14</f>
        <v>Interest earned - outstanding debtors</v>
      </c>
      <c r="B14" s="142"/>
      <c r="C14" s="526"/>
      <c r="D14" s="328"/>
      <c r="E14" s="329"/>
      <c r="F14" s="329"/>
      <c r="G14" s="329"/>
      <c r="H14" s="329"/>
      <c r="I14" s="41">
        <f t="shared" si="0"/>
        <v>0</v>
      </c>
      <c r="J14" s="165" t="str">
        <f t="shared" si="1"/>
        <v/>
      </c>
      <c r="K14" s="517"/>
    </row>
    <row r="15" spans="1:11" ht="12.75" customHeight="1" x14ac:dyDescent="0.25">
      <c r="A15" s="36" t="str">
        <f>'C4-FinPerf RE'!A15</f>
        <v>Dividends received</v>
      </c>
      <c r="B15" s="142"/>
      <c r="C15" s="526"/>
      <c r="D15" s="328"/>
      <c r="E15" s="329"/>
      <c r="F15" s="329"/>
      <c r="G15" s="329"/>
      <c r="H15" s="329"/>
      <c r="I15" s="41">
        <f t="shared" si="0"/>
        <v>0</v>
      </c>
      <c r="J15" s="165" t="str">
        <f t="shared" si="1"/>
        <v/>
      </c>
      <c r="K15" s="517"/>
    </row>
    <row r="16" spans="1:11" ht="12.75" customHeight="1" x14ac:dyDescent="0.25">
      <c r="A16" s="36" t="str">
        <f>'C4-FinPerf RE'!A16</f>
        <v>Fines, penalties and forfeits</v>
      </c>
      <c r="B16" s="142"/>
      <c r="C16" s="526"/>
      <c r="D16" s="328"/>
      <c r="E16" s="329"/>
      <c r="F16" s="329"/>
      <c r="G16" s="329"/>
      <c r="H16" s="329"/>
      <c r="I16" s="41">
        <f t="shared" si="0"/>
        <v>0</v>
      </c>
      <c r="J16" s="165" t="str">
        <f t="shared" si="1"/>
        <v/>
      </c>
      <c r="K16" s="517"/>
    </row>
    <row r="17" spans="1:11" ht="12.75" customHeight="1" x14ac:dyDescent="0.25">
      <c r="A17" s="36" t="str">
        <f>'C4-FinPerf RE'!A17</f>
        <v>Licences and permits</v>
      </c>
      <c r="B17" s="142"/>
      <c r="C17" s="526"/>
      <c r="D17" s="328"/>
      <c r="E17" s="329"/>
      <c r="F17" s="329"/>
      <c r="G17" s="329"/>
      <c r="H17" s="329"/>
      <c r="I17" s="41">
        <f t="shared" si="0"/>
        <v>0</v>
      </c>
      <c r="J17" s="165" t="str">
        <f t="shared" si="1"/>
        <v/>
      </c>
      <c r="K17" s="517"/>
    </row>
    <row r="18" spans="1:11" ht="12.75" customHeight="1" x14ac:dyDescent="0.25">
      <c r="A18" s="36" t="str">
        <f>'C4-FinPerf RE'!A18</f>
        <v>Agency services</v>
      </c>
      <c r="B18" s="142"/>
      <c r="C18" s="526"/>
      <c r="D18" s="328"/>
      <c r="E18" s="329"/>
      <c r="F18" s="329"/>
      <c r="G18" s="329"/>
      <c r="H18" s="329"/>
      <c r="I18" s="41">
        <f t="shared" si="0"/>
        <v>0</v>
      </c>
      <c r="J18" s="165" t="str">
        <f t="shared" si="1"/>
        <v/>
      </c>
      <c r="K18" s="517"/>
    </row>
    <row r="19" spans="1:11" ht="12.75" customHeight="1" x14ac:dyDescent="0.25">
      <c r="A19" s="36" t="str">
        <f>'C4-FinPerf RE'!A19</f>
        <v>Transfers and subsidies - operating</v>
      </c>
      <c r="B19" s="142"/>
      <c r="C19" s="526"/>
      <c r="D19" s="328"/>
      <c r="E19" s="329"/>
      <c r="F19" s="329"/>
      <c r="G19" s="329"/>
      <c r="H19" s="329"/>
      <c r="I19" s="41">
        <f t="shared" si="0"/>
        <v>0</v>
      </c>
      <c r="J19" s="165" t="str">
        <f t="shared" si="1"/>
        <v/>
      </c>
      <c r="K19" s="517"/>
    </row>
    <row r="20" spans="1:11" ht="12.75" customHeight="1" x14ac:dyDescent="0.25">
      <c r="A20" s="36" t="str">
        <f>'C4-FinPerf RE'!A20</f>
        <v>Other revenue</v>
      </c>
      <c r="B20" s="142"/>
      <c r="C20" s="526"/>
      <c r="D20" s="328"/>
      <c r="E20" s="329"/>
      <c r="F20" s="329"/>
      <c r="G20" s="329"/>
      <c r="H20" s="329"/>
      <c r="I20" s="41">
        <f t="shared" si="0"/>
        <v>0</v>
      </c>
      <c r="J20" s="165" t="str">
        <f t="shared" si="1"/>
        <v/>
      </c>
      <c r="K20" s="517"/>
    </row>
    <row r="21" spans="1:11" ht="12.75" customHeight="1" x14ac:dyDescent="0.25">
      <c r="A21" s="36" t="str">
        <f>'C4-FinPerf RE'!A21</f>
        <v>Gains on disposal of PPE</v>
      </c>
      <c r="B21" s="142"/>
      <c r="C21" s="526"/>
      <c r="D21" s="328"/>
      <c r="E21" s="329"/>
      <c r="F21" s="329"/>
      <c r="G21" s="329"/>
      <c r="H21" s="329"/>
      <c r="I21" s="41">
        <f t="shared" si="0"/>
        <v>0</v>
      </c>
      <c r="J21" s="165" t="str">
        <f t="shared" si="1"/>
        <v/>
      </c>
      <c r="K21" s="517"/>
    </row>
    <row r="22" spans="1:11" ht="12.75" customHeight="1" x14ac:dyDescent="0.25">
      <c r="A22" s="77" t="s">
        <v>137</v>
      </c>
      <c r="B22" s="77"/>
      <c r="C22" s="206">
        <f t="shared" ref="C22:H22" si="2">SUM(C6:C21)</f>
        <v>0</v>
      </c>
      <c r="D22" s="66">
        <f t="shared" si="2"/>
        <v>0</v>
      </c>
      <c r="E22" s="65">
        <f t="shared" si="2"/>
        <v>0</v>
      </c>
      <c r="F22" s="65">
        <f t="shared" si="2"/>
        <v>0</v>
      </c>
      <c r="G22" s="65">
        <f t="shared" si="2"/>
        <v>0</v>
      </c>
      <c r="H22" s="65">
        <f t="shared" si="2"/>
        <v>0</v>
      </c>
      <c r="I22" s="65">
        <f>G22-H22</f>
        <v>0</v>
      </c>
      <c r="J22" s="280" t="str">
        <f t="shared" si="1"/>
        <v/>
      </c>
      <c r="K22" s="120">
        <f>SUM(K6:K21)</f>
        <v>0</v>
      </c>
    </row>
    <row r="23" spans="1:11" ht="5.0999999999999996" customHeight="1" x14ac:dyDescent="0.25">
      <c r="A23" s="39"/>
      <c r="B23" s="142"/>
      <c r="C23" s="111"/>
      <c r="D23" s="43"/>
      <c r="E23" s="41"/>
      <c r="F23" s="41"/>
      <c r="G23" s="41"/>
      <c r="H23" s="41"/>
      <c r="I23" s="41"/>
      <c r="J23" s="165"/>
      <c r="K23" s="119"/>
    </row>
    <row r="24" spans="1:11" ht="12.75" customHeight="1" x14ac:dyDescent="0.25">
      <c r="A24" s="32" t="s">
        <v>492</v>
      </c>
      <c r="B24" s="146"/>
      <c r="C24" s="111"/>
      <c r="D24" s="43"/>
      <c r="E24" s="41"/>
      <c r="F24" s="41"/>
      <c r="G24" s="41"/>
      <c r="H24" s="41"/>
      <c r="I24" s="41"/>
      <c r="J24" s="165"/>
      <c r="K24" s="119"/>
    </row>
    <row r="25" spans="1:11" ht="12.75" customHeight="1" x14ac:dyDescent="0.25">
      <c r="A25" s="36" t="str">
        <f>'C4-FinPerf RE'!A25</f>
        <v>Employee related costs</v>
      </c>
      <c r="B25" s="142"/>
      <c r="C25" s="526"/>
      <c r="D25" s="328"/>
      <c r="E25" s="329"/>
      <c r="F25" s="329"/>
      <c r="G25" s="329"/>
      <c r="H25" s="329"/>
      <c r="I25" s="41">
        <f t="shared" ref="I25:I44" si="3">G25-H25</f>
        <v>0</v>
      </c>
      <c r="J25" s="165" t="str">
        <f t="shared" ref="J25:J44" si="4">IF(I25=0,"",I25/H25)</f>
        <v/>
      </c>
      <c r="K25" s="517"/>
    </row>
    <row r="26" spans="1:11" ht="12.75" customHeight="1" x14ac:dyDescent="0.25">
      <c r="A26" s="36" t="str">
        <f>'C4-FinPerf RE'!A26</f>
        <v>Remuneration of councillors</v>
      </c>
      <c r="B26" s="142"/>
      <c r="C26" s="526"/>
      <c r="D26" s="328"/>
      <c r="E26" s="329"/>
      <c r="F26" s="329"/>
      <c r="G26" s="329"/>
      <c r="H26" s="329"/>
      <c r="I26" s="41">
        <f t="shared" si="3"/>
        <v>0</v>
      </c>
      <c r="J26" s="165" t="str">
        <f t="shared" si="4"/>
        <v/>
      </c>
      <c r="K26" s="517"/>
    </row>
    <row r="27" spans="1:11" ht="12.75" customHeight="1" x14ac:dyDescent="0.25">
      <c r="A27" s="36" t="str">
        <f>'C4-FinPerf RE'!A27</f>
        <v>Debt impairment</v>
      </c>
      <c r="B27" s="142"/>
      <c r="C27" s="526"/>
      <c r="D27" s="328"/>
      <c r="E27" s="329"/>
      <c r="F27" s="329"/>
      <c r="G27" s="329"/>
      <c r="H27" s="329"/>
      <c r="I27" s="41">
        <f t="shared" si="3"/>
        <v>0</v>
      </c>
      <c r="J27" s="165" t="str">
        <f t="shared" si="4"/>
        <v/>
      </c>
      <c r="K27" s="517"/>
    </row>
    <row r="28" spans="1:11" ht="12.75" customHeight="1" x14ac:dyDescent="0.25">
      <c r="A28" s="36" t="str">
        <f>'C4-FinPerf RE'!A28</f>
        <v>Depreciation &amp; asset impairment</v>
      </c>
      <c r="B28" s="142"/>
      <c r="C28" s="526"/>
      <c r="D28" s="328"/>
      <c r="E28" s="329"/>
      <c r="F28" s="329"/>
      <c r="G28" s="329"/>
      <c r="H28" s="329"/>
      <c r="I28" s="41">
        <f t="shared" si="3"/>
        <v>0</v>
      </c>
      <c r="J28" s="165" t="str">
        <f t="shared" si="4"/>
        <v/>
      </c>
      <c r="K28" s="517"/>
    </row>
    <row r="29" spans="1:11" ht="12.75" customHeight="1" x14ac:dyDescent="0.25">
      <c r="A29" s="36" t="str">
        <f>'C4-FinPerf RE'!A29</f>
        <v>Finance charges</v>
      </c>
      <c r="B29" s="142"/>
      <c r="C29" s="526"/>
      <c r="D29" s="328"/>
      <c r="E29" s="329"/>
      <c r="F29" s="329"/>
      <c r="G29" s="329"/>
      <c r="H29" s="329"/>
      <c r="I29" s="41">
        <f t="shared" si="3"/>
        <v>0</v>
      </c>
      <c r="J29" s="165" t="str">
        <f t="shared" si="4"/>
        <v/>
      </c>
      <c r="K29" s="517"/>
    </row>
    <row r="30" spans="1:11" ht="12.75" customHeight="1" x14ac:dyDescent="0.25">
      <c r="A30" s="36" t="str">
        <f>'C4-FinPerf RE'!A30</f>
        <v>Bulk purchases</v>
      </c>
      <c r="B30" s="142"/>
      <c r="C30" s="526"/>
      <c r="D30" s="328"/>
      <c r="E30" s="329"/>
      <c r="F30" s="329"/>
      <c r="G30" s="329"/>
      <c r="H30" s="329"/>
      <c r="I30" s="41">
        <f t="shared" si="3"/>
        <v>0</v>
      </c>
      <c r="J30" s="165" t="str">
        <f t="shared" si="4"/>
        <v/>
      </c>
      <c r="K30" s="517"/>
    </row>
    <row r="31" spans="1:11" ht="12.75" customHeight="1" x14ac:dyDescent="0.25">
      <c r="A31" s="36" t="str">
        <f>'C4-FinPerf RE'!A31</f>
        <v>Other materials</v>
      </c>
      <c r="B31" s="142"/>
      <c r="C31" s="526"/>
      <c r="D31" s="328"/>
      <c r="E31" s="329"/>
      <c r="F31" s="329"/>
      <c r="G31" s="329"/>
      <c r="H31" s="329"/>
      <c r="I31" s="41">
        <f t="shared" si="3"/>
        <v>0</v>
      </c>
      <c r="J31" s="165" t="str">
        <f t="shared" si="4"/>
        <v/>
      </c>
      <c r="K31" s="517"/>
    </row>
    <row r="32" spans="1:11" ht="12.75" customHeight="1" x14ac:dyDescent="0.25">
      <c r="A32" s="36" t="str">
        <f>'C4-FinPerf RE'!A32</f>
        <v>Contracted services</v>
      </c>
      <c r="B32" s="142"/>
      <c r="C32" s="526"/>
      <c r="D32" s="328"/>
      <c r="E32" s="329"/>
      <c r="F32" s="329"/>
      <c r="G32" s="329"/>
      <c r="H32" s="329"/>
      <c r="I32" s="41">
        <f t="shared" si="3"/>
        <v>0</v>
      </c>
      <c r="J32" s="165" t="str">
        <f t="shared" si="4"/>
        <v/>
      </c>
      <c r="K32" s="517"/>
    </row>
    <row r="33" spans="1:11" ht="12.75" customHeight="1" x14ac:dyDescent="0.25">
      <c r="A33" s="36" t="str">
        <f>'C4-FinPerf RE'!A33</f>
        <v>Transfers and subsidies</v>
      </c>
      <c r="B33" s="142"/>
      <c r="C33" s="526"/>
      <c r="D33" s="328"/>
      <c r="E33" s="329"/>
      <c r="F33" s="329"/>
      <c r="G33" s="329"/>
      <c r="H33" s="329"/>
      <c r="I33" s="41">
        <f t="shared" si="3"/>
        <v>0</v>
      </c>
      <c r="J33" s="165" t="str">
        <f t="shared" si="4"/>
        <v/>
      </c>
      <c r="K33" s="517"/>
    </row>
    <row r="34" spans="1:11" ht="12.75" customHeight="1" x14ac:dyDescent="0.25">
      <c r="A34" s="36" t="str">
        <f>'C4-FinPerf RE'!A34</f>
        <v>Other expenditure</v>
      </c>
      <c r="B34" s="142"/>
      <c r="C34" s="526"/>
      <c r="D34" s="328"/>
      <c r="E34" s="329"/>
      <c r="F34" s="329"/>
      <c r="G34" s="329"/>
      <c r="H34" s="329"/>
      <c r="I34" s="41">
        <f t="shared" si="3"/>
        <v>0</v>
      </c>
      <c r="J34" s="165" t="str">
        <f t="shared" si="4"/>
        <v/>
      </c>
      <c r="K34" s="517"/>
    </row>
    <row r="35" spans="1:11" ht="12.75" customHeight="1" x14ac:dyDescent="0.25">
      <c r="A35" s="36" t="str">
        <f>'C4-FinPerf RE'!A35</f>
        <v>Loss on disposal of PPE</v>
      </c>
      <c r="B35" s="142"/>
      <c r="C35" s="526"/>
      <c r="D35" s="328"/>
      <c r="E35" s="329"/>
      <c r="F35" s="329"/>
      <c r="G35" s="329"/>
      <c r="H35" s="329"/>
      <c r="I35" s="41">
        <f t="shared" si="3"/>
        <v>0</v>
      </c>
      <c r="J35" s="165" t="str">
        <f t="shared" si="4"/>
        <v/>
      </c>
      <c r="K35" s="517"/>
    </row>
    <row r="36" spans="1:11" ht="12.75" customHeight="1" x14ac:dyDescent="0.25">
      <c r="A36" s="297" t="s">
        <v>493</v>
      </c>
      <c r="B36" s="447"/>
      <c r="C36" s="206">
        <f t="shared" ref="C36:H36" si="5">SUM(C25:C35)</f>
        <v>0</v>
      </c>
      <c r="D36" s="66">
        <f t="shared" si="5"/>
        <v>0</v>
      </c>
      <c r="E36" s="65">
        <f t="shared" si="5"/>
        <v>0</v>
      </c>
      <c r="F36" s="65">
        <f t="shared" si="5"/>
        <v>0</v>
      </c>
      <c r="G36" s="65">
        <f t="shared" si="5"/>
        <v>0</v>
      </c>
      <c r="H36" s="65">
        <f t="shared" si="5"/>
        <v>0</v>
      </c>
      <c r="I36" s="65">
        <f t="shared" si="3"/>
        <v>0</v>
      </c>
      <c r="J36" s="280" t="str">
        <f t="shared" si="4"/>
        <v/>
      </c>
      <c r="K36" s="120">
        <f>SUM(K25:K35)</f>
        <v>0</v>
      </c>
    </row>
    <row r="37" spans="1:11" ht="5.0999999999999996" customHeight="1" x14ac:dyDescent="0.25">
      <c r="A37" s="39"/>
      <c r="B37" s="142"/>
      <c r="C37" s="111"/>
      <c r="D37" s="43"/>
      <c r="E37" s="41"/>
      <c r="F37" s="41"/>
      <c r="G37" s="41"/>
      <c r="H37" s="41"/>
      <c r="I37" s="41">
        <f t="shared" si="3"/>
        <v>0</v>
      </c>
      <c r="J37" s="165"/>
      <c r="K37" s="119"/>
    </row>
    <row r="38" spans="1:11" ht="12.75" customHeight="1" x14ac:dyDescent="0.25">
      <c r="A38" s="77" t="str">
        <f>'C4-FinPerf RE'!A38</f>
        <v>Surplus/(Deficit)</v>
      </c>
      <c r="B38" s="142"/>
      <c r="C38" s="111">
        <f t="shared" ref="C38:H38" si="6">C22-C36</f>
        <v>0</v>
      </c>
      <c r="D38" s="43">
        <f t="shared" si="6"/>
        <v>0</v>
      </c>
      <c r="E38" s="41">
        <f t="shared" si="6"/>
        <v>0</v>
      </c>
      <c r="F38" s="41">
        <f t="shared" si="6"/>
        <v>0</v>
      </c>
      <c r="G38" s="41">
        <f t="shared" si="6"/>
        <v>0</v>
      </c>
      <c r="H38" s="41">
        <f t="shared" si="6"/>
        <v>0</v>
      </c>
      <c r="I38" s="41">
        <f t="shared" si="3"/>
        <v>0</v>
      </c>
      <c r="J38" s="165" t="str">
        <f t="shared" si="4"/>
        <v/>
      </c>
      <c r="K38" s="119">
        <f>K22-K36</f>
        <v>0</v>
      </c>
    </row>
    <row r="39" spans="1:11" ht="21.6" customHeight="1" x14ac:dyDescent="0.25">
      <c r="A39" s="93" t="str">
        <f>'C4-FinPerf RE'!A39</f>
        <v>Transfers and subsidies - capital (monetary allocations) (National / Provincial and District)</v>
      </c>
      <c r="B39" s="142"/>
      <c r="C39" s="526"/>
      <c r="D39" s="328"/>
      <c r="E39" s="329"/>
      <c r="F39" s="329"/>
      <c r="G39" s="329"/>
      <c r="H39" s="329"/>
      <c r="I39" s="41">
        <f t="shared" si="3"/>
        <v>0</v>
      </c>
      <c r="J39" s="165" t="str">
        <f t="shared" si="4"/>
        <v/>
      </c>
      <c r="K39" s="517"/>
    </row>
    <row r="40" spans="1:11" ht="42" customHeight="1" x14ac:dyDescent="0.25">
      <c r="A40" s="93" t="str">
        <f>'C4-FinPerf RE'!A40</f>
        <v>Transfers and subsidies - capital (monetary allocations) (National / Provincial Departmental Agencies, Households, Non-profit Institutions, Private Enterprises, Public Corporatons, Higher Educational Institutions)</v>
      </c>
      <c r="B40" s="142"/>
      <c r="C40" s="526"/>
      <c r="D40" s="328"/>
      <c r="E40" s="329"/>
      <c r="F40" s="329"/>
      <c r="G40" s="329"/>
      <c r="H40" s="329"/>
      <c r="I40" s="41">
        <f t="shared" si="3"/>
        <v>0</v>
      </c>
      <c r="J40" s="165" t="str">
        <f t="shared" si="4"/>
        <v/>
      </c>
      <c r="K40" s="517"/>
    </row>
    <row r="41" spans="1:11" ht="12.75" customHeight="1" x14ac:dyDescent="0.25">
      <c r="A41" s="36" t="str">
        <f>'C4-FinPerf RE'!A41</f>
        <v xml:space="preserve">Transfers and subsidies - capital (in-kind - all) </v>
      </c>
      <c r="B41" s="142"/>
      <c r="C41" s="526"/>
      <c r="D41" s="328"/>
      <c r="E41" s="329"/>
      <c r="F41" s="329"/>
      <c r="G41" s="329"/>
      <c r="H41" s="329"/>
      <c r="I41" s="41">
        <f t="shared" si="3"/>
        <v>0</v>
      </c>
      <c r="J41" s="165" t="str">
        <f t="shared" si="4"/>
        <v/>
      </c>
      <c r="K41" s="517"/>
    </row>
    <row r="42" spans="1:11" ht="25.5" x14ac:dyDescent="0.25">
      <c r="A42" s="448" t="str">
        <f>'C4-FinPerf RE'!A42</f>
        <v>Surplus/(Deficit) after capital transfers &amp; contributions</v>
      </c>
      <c r="B42" s="264"/>
      <c r="C42" s="449">
        <f>C38+SUM(C39:C41)</f>
        <v>0</v>
      </c>
      <c r="D42" s="450">
        <f t="shared" ref="D42:K42" si="7">D38+SUM(D39:D41)</f>
        <v>0</v>
      </c>
      <c r="E42" s="404">
        <f t="shared" si="7"/>
        <v>0</v>
      </c>
      <c r="F42" s="404">
        <f t="shared" si="7"/>
        <v>0</v>
      </c>
      <c r="G42" s="404">
        <f t="shared" si="7"/>
        <v>0</v>
      </c>
      <c r="H42" s="404">
        <f t="shared" si="7"/>
        <v>0</v>
      </c>
      <c r="I42" s="404">
        <f t="shared" si="3"/>
        <v>0</v>
      </c>
      <c r="J42" s="405" t="str">
        <f t="shared" si="4"/>
        <v/>
      </c>
      <c r="K42" s="451">
        <f t="shared" si="7"/>
        <v>0</v>
      </c>
    </row>
    <row r="43" spans="1:11" ht="12.75" customHeight="1" x14ac:dyDescent="0.25">
      <c r="A43" s="93" t="str">
        <f>'C4-FinPerf RE'!A43</f>
        <v>Taxation</v>
      </c>
      <c r="B43" s="142"/>
      <c r="C43" s="526"/>
      <c r="D43" s="328"/>
      <c r="E43" s="329"/>
      <c r="F43" s="329"/>
      <c r="G43" s="329"/>
      <c r="H43" s="329"/>
      <c r="I43" s="41">
        <f t="shared" si="3"/>
        <v>0</v>
      </c>
      <c r="J43" s="165" t="str">
        <f t="shared" si="4"/>
        <v/>
      </c>
      <c r="K43" s="517"/>
    </row>
    <row r="44" spans="1:11" ht="12.75" customHeight="1" x14ac:dyDescent="0.25">
      <c r="A44" s="49" t="str">
        <f>'C4-FinPerf RE'!A44</f>
        <v>Surplus/(Deficit) after taxation</v>
      </c>
      <c r="B44" s="199"/>
      <c r="C44" s="94">
        <f t="shared" ref="C44:H44" si="8">C42-C43</f>
        <v>0</v>
      </c>
      <c r="D44" s="52">
        <f t="shared" si="8"/>
        <v>0</v>
      </c>
      <c r="E44" s="51">
        <f t="shared" si="8"/>
        <v>0</v>
      </c>
      <c r="F44" s="51">
        <f t="shared" si="8"/>
        <v>0</v>
      </c>
      <c r="G44" s="51">
        <f t="shared" si="8"/>
        <v>0</v>
      </c>
      <c r="H44" s="51">
        <f t="shared" si="8"/>
        <v>0</v>
      </c>
      <c r="I44" s="51">
        <f t="shared" si="3"/>
        <v>0</v>
      </c>
      <c r="J44" s="281" t="str">
        <f t="shared" si="4"/>
        <v/>
      </c>
      <c r="K44" s="198">
        <f>K42-K43</f>
        <v>0</v>
      </c>
    </row>
    <row r="45" spans="1:11" ht="12.75" customHeight="1" x14ac:dyDescent="0.25">
      <c r="A45" s="53" t="str">
        <f>head27a</f>
        <v>References</v>
      </c>
      <c r="C45" s="55"/>
      <c r="D45" s="55"/>
      <c r="E45" s="55"/>
      <c r="F45" s="55"/>
      <c r="G45" s="55"/>
      <c r="H45" s="55"/>
      <c r="I45" s="55"/>
      <c r="J45" s="122"/>
      <c r="K45" s="55"/>
    </row>
    <row r="46" spans="1:11" ht="12.75" customHeight="1" x14ac:dyDescent="0.25">
      <c r="A46" s="72" t="s">
        <v>636</v>
      </c>
      <c r="C46" s="55"/>
      <c r="D46" s="55"/>
      <c r="E46" s="55"/>
      <c r="F46" s="55"/>
      <c r="G46" s="55"/>
      <c r="H46" s="55"/>
      <c r="I46" s="55"/>
      <c r="J46" s="55"/>
      <c r="K46" s="55"/>
    </row>
  </sheetData>
  <sheetProtection sheet="1" objects="1" scenarios="1"/>
  <mergeCells count="3">
    <mergeCell ref="A2:A3"/>
    <mergeCell ref="B2:B3"/>
    <mergeCell ref="A1:K1"/>
  </mergeCells>
  <phoneticPr fontId="3" type="noConversion"/>
  <printOptions horizontalCentered="1"/>
  <pageMargins left="0.19685039370078741" right="0.19685039370078741" top="0.59055118110236227" bottom="0.59055118110236227" header="0.51181102362204722" footer="0.39370078740157483"/>
  <pageSetup paperSize="9" scale="9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6">
    <tabColor indexed="42"/>
    <pageSetUpPr fitToPage="1"/>
  </sheetPr>
  <dimension ref="A1:K50"/>
  <sheetViews>
    <sheetView showGridLines="0" view="pageBreakPreview" zoomScaleNormal="100" zoomScaleSheetLayoutView="100" workbookViewId="0">
      <pane xSplit="2" ySplit="4" topLeftCell="C5" activePane="bottomRight" state="frozen"/>
      <selection pane="topRight"/>
      <selection pane="bottomLeft"/>
      <selection pane="bottomRight" sqref="A1:K1"/>
    </sheetView>
  </sheetViews>
  <sheetFormatPr defaultColWidth="9.140625" defaultRowHeight="12.75" x14ac:dyDescent="0.25"/>
  <cols>
    <col min="1" max="1" width="35.7109375" style="22" customWidth="1"/>
    <col min="2" max="2" width="3.140625" style="54" customWidth="1"/>
    <col min="3" max="8" width="8.7109375" style="22" customWidth="1"/>
    <col min="9" max="10" width="6.7109375" style="22" customWidth="1"/>
    <col min="11" max="11" width="8.7109375" style="22" customWidth="1"/>
    <col min="12" max="12" width="9.85546875" style="22" customWidth="1"/>
    <col min="13" max="13" width="9.5703125" style="22" customWidth="1"/>
    <col min="14" max="14" width="9.85546875" style="22" customWidth="1"/>
    <col min="15" max="17" width="9.5703125" style="22" customWidth="1"/>
    <col min="18" max="18" width="9.85546875" style="22" customWidth="1"/>
    <col min="19" max="21" width="9.5703125" style="22" customWidth="1"/>
    <col min="22" max="23" width="9.85546875" style="22" customWidth="1"/>
    <col min="24" max="16384" width="9.140625" style="22"/>
  </cols>
  <sheetData>
    <row r="1" spans="1:11" ht="13.5" x14ac:dyDescent="0.25">
      <c r="A1" s="1003" t="str">
        <f>muni&amp; " - "&amp;S71Q&amp; " - "&amp;Head57</f>
        <v>WC025 Breede Valley - NOT REQUIRED - municipality does not have entities or this is the parent municipality's budget - Q4 Fourth Quarter</v>
      </c>
      <c r="B1" s="1003"/>
      <c r="C1" s="1003"/>
      <c r="D1" s="1003"/>
      <c r="E1" s="1003"/>
      <c r="F1" s="1003"/>
      <c r="G1" s="1003"/>
      <c r="H1" s="1003"/>
      <c r="I1" s="1003"/>
      <c r="J1" s="1003"/>
      <c r="K1" s="1003"/>
    </row>
    <row r="2" spans="1:11" x14ac:dyDescent="0.25">
      <c r="A2" s="980" t="str">
        <f>desc</f>
        <v>Description</v>
      </c>
      <c r="B2" s="973" t="str">
        <f>head27</f>
        <v>Ref</v>
      </c>
      <c r="C2" s="131" t="str">
        <f>Head1</f>
        <v>2017/18</v>
      </c>
      <c r="D2" s="975" t="str">
        <f>Head2</f>
        <v>Budget Year 2018/19</v>
      </c>
      <c r="E2" s="976"/>
      <c r="F2" s="976"/>
      <c r="G2" s="976"/>
      <c r="H2" s="976"/>
      <c r="I2" s="976"/>
      <c r="J2" s="976"/>
      <c r="K2" s="977"/>
    </row>
    <row r="3" spans="1:11" ht="25.5" x14ac:dyDescent="0.25">
      <c r="A3" s="981"/>
      <c r="B3" s="987"/>
      <c r="C3" s="132" t="str">
        <f>Head5</f>
        <v>Audited Outcome</v>
      </c>
      <c r="D3" s="220" t="str">
        <f>Head6</f>
        <v>Original Budget</v>
      </c>
      <c r="E3" s="116" t="str">
        <f>Head7</f>
        <v>Adjusted Budget</v>
      </c>
      <c r="F3" s="116" t="str">
        <f>Head38</f>
        <v>Monthly actual</v>
      </c>
      <c r="G3" s="116" t="str">
        <f>Head39</f>
        <v>YearTD actual</v>
      </c>
      <c r="H3" s="116" t="str">
        <f>Head40</f>
        <v>YearTD budget</v>
      </c>
      <c r="I3" s="116" t="str">
        <f>Head41</f>
        <v>YTD variance</v>
      </c>
      <c r="J3" s="170" t="str">
        <f>Head41</f>
        <v>YTD variance</v>
      </c>
      <c r="K3" s="137" t="str">
        <f>Head8</f>
        <v>Full Year Forecast</v>
      </c>
    </row>
    <row r="4" spans="1:11" x14ac:dyDescent="0.25">
      <c r="A4" s="188" t="s">
        <v>678</v>
      </c>
      <c r="B4" s="211"/>
      <c r="C4" s="247"/>
      <c r="D4" s="253"/>
      <c r="E4" s="249"/>
      <c r="F4" s="250"/>
      <c r="G4" s="250"/>
      <c r="H4" s="250"/>
      <c r="I4" s="250"/>
      <c r="J4" s="251" t="s">
        <v>586</v>
      </c>
      <c r="K4" s="252"/>
    </row>
    <row r="5" spans="1:11" ht="12.75" customHeight="1" x14ac:dyDescent="0.25">
      <c r="A5" s="112" t="s">
        <v>563</v>
      </c>
      <c r="B5" s="142"/>
      <c r="C5" s="111"/>
      <c r="D5" s="221"/>
      <c r="E5" s="41"/>
      <c r="F5" s="41"/>
      <c r="G5" s="41"/>
      <c r="H5" s="41"/>
      <c r="I5" s="41"/>
      <c r="J5" s="41"/>
      <c r="K5" s="119"/>
    </row>
    <row r="6" spans="1:11" ht="12.75" customHeight="1" x14ac:dyDescent="0.25">
      <c r="A6" s="555" t="s">
        <v>79</v>
      </c>
      <c r="B6" s="142"/>
      <c r="C6" s="526"/>
      <c r="D6" s="531"/>
      <c r="E6" s="329"/>
      <c r="F6" s="329"/>
      <c r="G6" s="329"/>
      <c r="H6" s="329"/>
      <c r="I6" s="41">
        <f t="shared" ref="I6:I41" si="0">G6-H6</f>
        <v>0</v>
      </c>
      <c r="J6" s="165" t="str">
        <f>IF(I6=0,"",I6/H6)</f>
        <v/>
      </c>
      <c r="K6" s="517"/>
    </row>
    <row r="7" spans="1:11" ht="12.75" customHeight="1" x14ac:dyDescent="0.25">
      <c r="A7" s="538"/>
      <c r="B7" s="142"/>
      <c r="C7" s="526"/>
      <c r="D7" s="531"/>
      <c r="E7" s="329"/>
      <c r="F7" s="329"/>
      <c r="G7" s="329"/>
      <c r="H7" s="329"/>
      <c r="I7" s="41">
        <f t="shared" si="0"/>
        <v>0</v>
      </c>
      <c r="J7" s="165" t="str">
        <f t="shared" ref="J7:J16" si="1">IF(I7=0,"",I7/H7)</f>
        <v/>
      </c>
      <c r="K7" s="517"/>
    </row>
    <row r="8" spans="1:11" ht="12.75" customHeight="1" x14ac:dyDescent="0.25">
      <c r="A8" s="538"/>
      <c r="B8" s="142"/>
      <c r="C8" s="526"/>
      <c r="D8" s="531"/>
      <c r="E8" s="329"/>
      <c r="F8" s="329"/>
      <c r="G8" s="329"/>
      <c r="H8" s="329"/>
      <c r="I8" s="41">
        <f t="shared" si="0"/>
        <v>0</v>
      </c>
      <c r="J8" s="165" t="str">
        <f t="shared" si="1"/>
        <v/>
      </c>
      <c r="K8" s="517"/>
    </row>
    <row r="9" spans="1:11" ht="12.75" customHeight="1" x14ac:dyDescent="0.25">
      <c r="A9" s="538"/>
      <c r="B9" s="142"/>
      <c r="C9" s="526"/>
      <c r="D9" s="531"/>
      <c r="E9" s="329"/>
      <c r="F9" s="329"/>
      <c r="G9" s="329"/>
      <c r="H9" s="329"/>
      <c r="I9" s="41">
        <f t="shared" si="0"/>
        <v>0</v>
      </c>
      <c r="J9" s="165" t="str">
        <f t="shared" si="1"/>
        <v/>
      </c>
      <c r="K9" s="517"/>
    </row>
    <row r="10" spans="1:11" ht="12.75" customHeight="1" x14ac:dyDescent="0.25">
      <c r="A10" s="538"/>
      <c r="B10" s="142"/>
      <c r="C10" s="526"/>
      <c r="D10" s="531"/>
      <c r="E10" s="329"/>
      <c r="F10" s="329"/>
      <c r="G10" s="329"/>
      <c r="H10" s="329"/>
      <c r="I10" s="41">
        <f t="shared" si="0"/>
        <v>0</v>
      </c>
      <c r="J10" s="165" t="str">
        <f t="shared" si="1"/>
        <v/>
      </c>
      <c r="K10" s="517"/>
    </row>
    <row r="11" spans="1:11" ht="12.75" customHeight="1" x14ac:dyDescent="0.25">
      <c r="A11" s="538"/>
      <c r="B11" s="142"/>
      <c r="C11" s="526"/>
      <c r="D11" s="531"/>
      <c r="E11" s="329"/>
      <c r="F11" s="329"/>
      <c r="G11" s="329"/>
      <c r="H11" s="329"/>
      <c r="I11" s="41">
        <f t="shared" si="0"/>
        <v>0</v>
      </c>
      <c r="J11" s="165" t="str">
        <f t="shared" si="1"/>
        <v/>
      </c>
      <c r="K11" s="517"/>
    </row>
    <row r="12" spans="1:11" ht="12.75" customHeight="1" x14ac:dyDescent="0.25">
      <c r="A12" s="538"/>
      <c r="B12" s="142"/>
      <c r="C12" s="526"/>
      <c r="D12" s="531"/>
      <c r="E12" s="329"/>
      <c r="F12" s="329"/>
      <c r="G12" s="329"/>
      <c r="H12" s="329"/>
      <c r="I12" s="41">
        <f t="shared" si="0"/>
        <v>0</v>
      </c>
      <c r="J12" s="165" t="str">
        <f t="shared" si="1"/>
        <v/>
      </c>
      <c r="K12" s="517"/>
    </row>
    <row r="13" spans="1:11" ht="12.75" customHeight="1" x14ac:dyDescent="0.25">
      <c r="A13" s="538"/>
      <c r="B13" s="142"/>
      <c r="C13" s="526"/>
      <c r="D13" s="531"/>
      <c r="E13" s="329"/>
      <c r="F13" s="329"/>
      <c r="G13" s="329"/>
      <c r="H13" s="329"/>
      <c r="I13" s="41">
        <f t="shared" si="0"/>
        <v>0</v>
      </c>
      <c r="J13" s="165" t="str">
        <f t="shared" si="1"/>
        <v/>
      </c>
      <c r="K13" s="517"/>
    </row>
    <row r="14" spans="1:11" ht="12.75" customHeight="1" x14ac:dyDescent="0.25">
      <c r="A14" s="538"/>
      <c r="B14" s="142"/>
      <c r="C14" s="526"/>
      <c r="D14" s="531"/>
      <c r="E14" s="329"/>
      <c r="F14" s="329"/>
      <c r="G14" s="329"/>
      <c r="H14" s="329"/>
      <c r="I14" s="41">
        <f t="shared" si="0"/>
        <v>0</v>
      </c>
      <c r="J14" s="165" t="str">
        <f t="shared" si="1"/>
        <v/>
      </c>
      <c r="K14" s="517"/>
    </row>
    <row r="15" spans="1:11" ht="12.75" customHeight="1" x14ac:dyDescent="0.25">
      <c r="A15" s="538"/>
      <c r="B15" s="142"/>
      <c r="C15" s="526"/>
      <c r="D15" s="531"/>
      <c r="E15" s="329"/>
      <c r="F15" s="329"/>
      <c r="G15" s="329"/>
      <c r="H15" s="329"/>
      <c r="I15" s="41">
        <f t="shared" si="0"/>
        <v>0</v>
      </c>
      <c r="J15" s="165" t="str">
        <f t="shared" si="1"/>
        <v/>
      </c>
      <c r="K15" s="517"/>
    </row>
    <row r="16" spans="1:11" ht="12.75" customHeight="1" x14ac:dyDescent="0.25">
      <c r="A16" s="81" t="s">
        <v>551</v>
      </c>
      <c r="B16" s="196">
        <v>1</v>
      </c>
      <c r="C16" s="206">
        <f t="shared" ref="C16:H16" si="2">SUM(C6:C15)</f>
        <v>0</v>
      </c>
      <c r="D16" s="223">
        <f t="shared" si="2"/>
        <v>0</v>
      </c>
      <c r="E16" s="65">
        <f t="shared" si="2"/>
        <v>0</v>
      </c>
      <c r="F16" s="65">
        <f t="shared" si="2"/>
        <v>0</v>
      </c>
      <c r="G16" s="65">
        <f t="shared" si="2"/>
        <v>0</v>
      </c>
      <c r="H16" s="65">
        <f t="shared" si="2"/>
        <v>0</v>
      </c>
      <c r="I16" s="65">
        <f t="shared" si="0"/>
        <v>0</v>
      </c>
      <c r="J16" s="280" t="str">
        <f t="shared" si="1"/>
        <v/>
      </c>
      <c r="K16" s="120">
        <f>SUM(K6:K15)</f>
        <v>0</v>
      </c>
    </row>
    <row r="17" spans="1:11" ht="5.0999999999999996" customHeight="1" x14ac:dyDescent="0.25">
      <c r="A17" s="39"/>
      <c r="B17" s="142"/>
      <c r="C17" s="111"/>
      <c r="D17" s="221"/>
      <c r="E17" s="41"/>
      <c r="F17" s="41"/>
      <c r="G17" s="41"/>
      <c r="H17" s="41"/>
      <c r="I17" s="41"/>
      <c r="J17" s="165"/>
      <c r="K17" s="119"/>
    </row>
    <row r="18" spans="1:11" ht="12.75" customHeight="1" x14ac:dyDescent="0.25">
      <c r="A18" s="32" t="s">
        <v>562</v>
      </c>
      <c r="B18" s="146"/>
      <c r="C18" s="111"/>
      <c r="D18" s="221"/>
      <c r="E18" s="41"/>
      <c r="F18" s="41"/>
      <c r="G18" s="41"/>
      <c r="H18" s="41"/>
      <c r="I18" s="41"/>
      <c r="J18" s="165"/>
      <c r="K18" s="119"/>
    </row>
    <row r="19" spans="1:11" ht="12.75" customHeight="1" x14ac:dyDescent="0.25">
      <c r="A19" s="555" t="str">
        <f>A6</f>
        <v>Insert name of municipal entity</v>
      </c>
      <c r="B19" s="142"/>
      <c r="C19" s="526"/>
      <c r="D19" s="531"/>
      <c r="E19" s="329"/>
      <c r="F19" s="329"/>
      <c r="G19" s="329"/>
      <c r="H19" s="329"/>
      <c r="I19" s="41">
        <f t="shared" si="0"/>
        <v>0</v>
      </c>
      <c r="J19" s="165" t="str">
        <f t="shared" ref="J19:J43" si="3">IF(I19=0,"",I19/H19)</f>
        <v/>
      </c>
      <c r="K19" s="517"/>
    </row>
    <row r="20" spans="1:11" ht="12.75" customHeight="1" x14ac:dyDescent="0.25">
      <c r="A20" s="538" t="str">
        <f>IF(A7="","",A7)</f>
        <v/>
      </c>
      <c r="B20" s="142"/>
      <c r="C20" s="526"/>
      <c r="D20" s="531"/>
      <c r="E20" s="329"/>
      <c r="F20" s="329"/>
      <c r="G20" s="329"/>
      <c r="H20" s="329"/>
      <c r="I20" s="41">
        <f t="shared" si="0"/>
        <v>0</v>
      </c>
      <c r="J20" s="165" t="str">
        <f t="shared" si="3"/>
        <v/>
      </c>
      <c r="K20" s="517"/>
    </row>
    <row r="21" spans="1:11" ht="12.75" customHeight="1" x14ac:dyDescent="0.25">
      <c r="A21" s="538" t="str">
        <f t="shared" ref="A21:A28" si="4">IF(A8="","",A8)</f>
        <v/>
      </c>
      <c r="B21" s="142"/>
      <c r="C21" s="526"/>
      <c r="D21" s="531"/>
      <c r="E21" s="329"/>
      <c r="F21" s="329"/>
      <c r="G21" s="329"/>
      <c r="H21" s="329"/>
      <c r="I21" s="41">
        <f t="shared" si="0"/>
        <v>0</v>
      </c>
      <c r="J21" s="165" t="str">
        <f t="shared" si="3"/>
        <v/>
      </c>
      <c r="K21" s="517"/>
    </row>
    <row r="22" spans="1:11" ht="12.75" customHeight="1" x14ac:dyDescent="0.25">
      <c r="A22" s="538" t="str">
        <f t="shared" si="4"/>
        <v/>
      </c>
      <c r="B22" s="142"/>
      <c r="C22" s="526"/>
      <c r="D22" s="531"/>
      <c r="E22" s="329"/>
      <c r="F22" s="329"/>
      <c r="G22" s="329"/>
      <c r="H22" s="329"/>
      <c r="I22" s="41">
        <f t="shared" si="0"/>
        <v>0</v>
      </c>
      <c r="J22" s="165" t="str">
        <f t="shared" si="3"/>
        <v/>
      </c>
      <c r="K22" s="517"/>
    </row>
    <row r="23" spans="1:11" ht="12.75" customHeight="1" x14ac:dyDescent="0.25">
      <c r="A23" s="538" t="str">
        <f t="shared" si="4"/>
        <v/>
      </c>
      <c r="B23" s="142"/>
      <c r="C23" s="526"/>
      <c r="D23" s="531"/>
      <c r="E23" s="329"/>
      <c r="F23" s="329"/>
      <c r="G23" s="329"/>
      <c r="H23" s="329"/>
      <c r="I23" s="41">
        <f t="shared" si="0"/>
        <v>0</v>
      </c>
      <c r="J23" s="165" t="str">
        <f t="shared" si="3"/>
        <v/>
      </c>
      <c r="K23" s="517"/>
    </row>
    <row r="24" spans="1:11" ht="12.75" customHeight="1" x14ac:dyDescent="0.25">
      <c r="A24" s="538" t="str">
        <f t="shared" si="4"/>
        <v/>
      </c>
      <c r="B24" s="142"/>
      <c r="C24" s="526"/>
      <c r="D24" s="531"/>
      <c r="E24" s="329"/>
      <c r="F24" s="329"/>
      <c r="G24" s="329"/>
      <c r="H24" s="329"/>
      <c r="I24" s="41">
        <f t="shared" si="0"/>
        <v>0</v>
      </c>
      <c r="J24" s="165" t="str">
        <f t="shared" si="3"/>
        <v/>
      </c>
      <c r="K24" s="517"/>
    </row>
    <row r="25" spans="1:11" ht="12.75" customHeight="1" x14ac:dyDescent="0.25">
      <c r="A25" s="538" t="str">
        <f t="shared" si="4"/>
        <v/>
      </c>
      <c r="B25" s="142"/>
      <c r="C25" s="526"/>
      <c r="D25" s="531"/>
      <c r="E25" s="329"/>
      <c r="F25" s="329"/>
      <c r="G25" s="329"/>
      <c r="H25" s="329"/>
      <c r="I25" s="41">
        <f t="shared" si="0"/>
        <v>0</v>
      </c>
      <c r="J25" s="165" t="str">
        <f t="shared" si="3"/>
        <v/>
      </c>
      <c r="K25" s="517"/>
    </row>
    <row r="26" spans="1:11" ht="12.75" customHeight="1" x14ac:dyDescent="0.25">
      <c r="A26" s="538" t="str">
        <f t="shared" si="4"/>
        <v/>
      </c>
      <c r="B26" s="142"/>
      <c r="C26" s="526"/>
      <c r="D26" s="531"/>
      <c r="E26" s="329"/>
      <c r="F26" s="329"/>
      <c r="G26" s="329"/>
      <c r="H26" s="329"/>
      <c r="I26" s="41">
        <f t="shared" si="0"/>
        <v>0</v>
      </c>
      <c r="J26" s="165" t="str">
        <f t="shared" si="3"/>
        <v/>
      </c>
      <c r="K26" s="517"/>
    </row>
    <row r="27" spans="1:11" ht="12.75" customHeight="1" x14ac:dyDescent="0.25">
      <c r="A27" s="538" t="str">
        <f t="shared" si="4"/>
        <v/>
      </c>
      <c r="B27" s="142"/>
      <c r="C27" s="526"/>
      <c r="D27" s="531"/>
      <c r="E27" s="329"/>
      <c r="F27" s="329"/>
      <c r="G27" s="329"/>
      <c r="H27" s="329"/>
      <c r="I27" s="41">
        <f t="shared" si="0"/>
        <v>0</v>
      </c>
      <c r="J27" s="165" t="str">
        <f t="shared" si="3"/>
        <v/>
      </c>
      <c r="K27" s="517"/>
    </row>
    <row r="28" spans="1:11" ht="12.75" customHeight="1" x14ac:dyDescent="0.25">
      <c r="A28" s="538" t="str">
        <f t="shared" si="4"/>
        <v/>
      </c>
      <c r="B28" s="142"/>
      <c r="C28" s="526"/>
      <c r="D28" s="531"/>
      <c r="E28" s="329"/>
      <c r="F28" s="329"/>
      <c r="G28" s="329"/>
      <c r="H28" s="329"/>
      <c r="I28" s="41">
        <f t="shared" si="0"/>
        <v>0</v>
      </c>
      <c r="J28" s="165" t="str">
        <f t="shared" si="3"/>
        <v/>
      </c>
      <c r="K28" s="517"/>
    </row>
    <row r="29" spans="1:11" ht="12.75" customHeight="1" x14ac:dyDescent="0.25">
      <c r="A29" s="81" t="s">
        <v>919</v>
      </c>
      <c r="B29" s="196">
        <v>2</v>
      </c>
      <c r="C29" s="206">
        <f t="shared" ref="C29:H29" si="5">SUM(C19:C28)</f>
        <v>0</v>
      </c>
      <c r="D29" s="223">
        <f t="shared" si="5"/>
        <v>0</v>
      </c>
      <c r="E29" s="65">
        <f t="shared" si="5"/>
        <v>0</v>
      </c>
      <c r="F29" s="65">
        <f t="shared" si="5"/>
        <v>0</v>
      </c>
      <c r="G29" s="65">
        <f t="shared" si="5"/>
        <v>0</v>
      </c>
      <c r="H29" s="65">
        <f t="shared" si="5"/>
        <v>0</v>
      </c>
      <c r="I29" s="65">
        <f t="shared" si="0"/>
        <v>0</v>
      </c>
      <c r="J29" s="280" t="str">
        <f t="shared" si="3"/>
        <v/>
      </c>
      <c r="K29" s="120">
        <f>SUM(K19:K28)</f>
        <v>0</v>
      </c>
    </row>
    <row r="30" spans="1:11" ht="5.0999999999999996" customHeight="1" x14ac:dyDescent="0.25">
      <c r="A30" s="39"/>
      <c r="B30" s="142"/>
      <c r="C30" s="111"/>
      <c r="D30" s="221"/>
      <c r="E30" s="41"/>
      <c r="F30" s="41"/>
      <c r="G30" s="41"/>
      <c r="H30" s="41"/>
      <c r="I30" s="41"/>
      <c r="J30" s="165" t="str">
        <f t="shared" si="3"/>
        <v/>
      </c>
      <c r="K30" s="119"/>
    </row>
    <row r="31" spans="1:11" ht="12.75" customHeight="1" x14ac:dyDescent="0.25">
      <c r="A31" s="77" t="str">
        <f>Head42</f>
        <v>Surplus/ (Deficit) for the yr/period</v>
      </c>
      <c r="B31" s="142"/>
      <c r="C31" s="111">
        <f>C16-C29</f>
        <v>0</v>
      </c>
      <c r="D31" s="221">
        <f t="shared" ref="D31:K31" si="6">D16-D29</f>
        <v>0</v>
      </c>
      <c r="E31" s="41">
        <f t="shared" si="6"/>
        <v>0</v>
      </c>
      <c r="F31" s="41">
        <f t="shared" si="6"/>
        <v>0</v>
      </c>
      <c r="G31" s="41">
        <f t="shared" si="6"/>
        <v>0</v>
      </c>
      <c r="H31" s="41">
        <f t="shared" si="6"/>
        <v>0</v>
      </c>
      <c r="I31" s="41">
        <f>I16+I29</f>
        <v>0</v>
      </c>
      <c r="J31" s="165" t="str">
        <f t="shared" si="3"/>
        <v/>
      </c>
      <c r="K31" s="119">
        <f t="shared" si="6"/>
        <v>0</v>
      </c>
    </row>
    <row r="32" spans="1:11" ht="12.75" customHeight="1" x14ac:dyDescent="0.25">
      <c r="A32" s="32" t="s">
        <v>829</v>
      </c>
      <c r="B32" s="142"/>
      <c r="C32" s="111"/>
      <c r="D32" s="221"/>
      <c r="E32" s="41"/>
      <c r="F32" s="41"/>
      <c r="G32" s="41"/>
      <c r="H32" s="41"/>
      <c r="I32" s="41"/>
      <c r="J32" s="165"/>
      <c r="K32" s="119"/>
    </row>
    <row r="33" spans="1:11" ht="12.75" customHeight="1" x14ac:dyDescent="0.25">
      <c r="A33" s="555" t="str">
        <f>$A$6</f>
        <v>Insert name of municipal entity</v>
      </c>
      <c r="B33" s="142"/>
      <c r="C33" s="526"/>
      <c r="D33" s="531"/>
      <c r="E33" s="329"/>
      <c r="F33" s="329"/>
      <c r="G33" s="329"/>
      <c r="H33" s="329"/>
      <c r="I33" s="41">
        <f t="shared" si="0"/>
        <v>0</v>
      </c>
      <c r="J33" s="165" t="str">
        <f t="shared" si="3"/>
        <v/>
      </c>
      <c r="K33" s="517"/>
    </row>
    <row r="34" spans="1:11" ht="12.75" customHeight="1" x14ac:dyDescent="0.25">
      <c r="A34" s="538" t="str">
        <f>IF(A7="","",A7)</f>
        <v/>
      </c>
      <c r="B34" s="142"/>
      <c r="C34" s="526"/>
      <c r="D34" s="531"/>
      <c r="E34" s="329"/>
      <c r="F34" s="329"/>
      <c r="G34" s="329"/>
      <c r="H34" s="329"/>
      <c r="I34" s="41">
        <f t="shared" si="0"/>
        <v>0</v>
      </c>
      <c r="J34" s="165" t="str">
        <f t="shared" si="3"/>
        <v/>
      </c>
      <c r="K34" s="517"/>
    </row>
    <row r="35" spans="1:11" ht="12.75" customHeight="1" x14ac:dyDescent="0.25">
      <c r="A35" s="538" t="str">
        <f t="shared" ref="A35:A41" si="7">IF(A8="","",A8)</f>
        <v/>
      </c>
      <c r="B35" s="142"/>
      <c r="C35" s="526"/>
      <c r="D35" s="531"/>
      <c r="E35" s="329"/>
      <c r="F35" s="329"/>
      <c r="G35" s="329"/>
      <c r="H35" s="329"/>
      <c r="I35" s="41">
        <f t="shared" si="0"/>
        <v>0</v>
      </c>
      <c r="J35" s="165" t="str">
        <f t="shared" si="3"/>
        <v/>
      </c>
      <c r="K35" s="517"/>
    </row>
    <row r="36" spans="1:11" ht="12.75" customHeight="1" x14ac:dyDescent="0.25">
      <c r="A36" s="538" t="str">
        <f t="shared" si="7"/>
        <v/>
      </c>
      <c r="B36" s="142"/>
      <c r="C36" s="526"/>
      <c r="D36" s="531"/>
      <c r="E36" s="329"/>
      <c r="F36" s="329"/>
      <c r="G36" s="329"/>
      <c r="H36" s="329"/>
      <c r="I36" s="41">
        <f t="shared" si="0"/>
        <v>0</v>
      </c>
      <c r="J36" s="165" t="str">
        <f t="shared" si="3"/>
        <v/>
      </c>
      <c r="K36" s="517"/>
    </row>
    <row r="37" spans="1:11" ht="12.75" customHeight="1" x14ac:dyDescent="0.25">
      <c r="A37" s="538" t="str">
        <f t="shared" si="7"/>
        <v/>
      </c>
      <c r="B37" s="142"/>
      <c r="C37" s="526"/>
      <c r="D37" s="531"/>
      <c r="E37" s="329"/>
      <c r="F37" s="329"/>
      <c r="G37" s="329"/>
      <c r="H37" s="329"/>
      <c r="I37" s="41">
        <f t="shared" si="0"/>
        <v>0</v>
      </c>
      <c r="J37" s="165" t="str">
        <f t="shared" si="3"/>
        <v/>
      </c>
      <c r="K37" s="517"/>
    </row>
    <row r="38" spans="1:11" ht="12.75" customHeight="1" x14ac:dyDescent="0.25">
      <c r="A38" s="538" t="str">
        <f t="shared" si="7"/>
        <v/>
      </c>
      <c r="B38" s="142"/>
      <c r="C38" s="526"/>
      <c r="D38" s="531"/>
      <c r="E38" s="329"/>
      <c r="F38" s="329"/>
      <c r="G38" s="329"/>
      <c r="H38" s="329"/>
      <c r="I38" s="41">
        <f t="shared" si="0"/>
        <v>0</v>
      </c>
      <c r="J38" s="165" t="str">
        <f t="shared" si="3"/>
        <v/>
      </c>
      <c r="K38" s="517"/>
    </row>
    <row r="39" spans="1:11" ht="12.75" customHeight="1" x14ac:dyDescent="0.25">
      <c r="A39" s="538" t="str">
        <f t="shared" si="7"/>
        <v/>
      </c>
      <c r="B39" s="142"/>
      <c r="C39" s="526"/>
      <c r="D39" s="531"/>
      <c r="E39" s="329"/>
      <c r="F39" s="329"/>
      <c r="G39" s="329"/>
      <c r="H39" s="329"/>
      <c r="I39" s="41">
        <f t="shared" si="0"/>
        <v>0</v>
      </c>
      <c r="J39" s="165" t="str">
        <f t="shared" si="3"/>
        <v/>
      </c>
      <c r="K39" s="517"/>
    </row>
    <row r="40" spans="1:11" ht="12.75" customHeight="1" x14ac:dyDescent="0.25">
      <c r="A40" s="538" t="str">
        <f t="shared" si="7"/>
        <v/>
      </c>
      <c r="B40" s="142"/>
      <c r="C40" s="526"/>
      <c r="D40" s="531"/>
      <c r="E40" s="329"/>
      <c r="F40" s="329"/>
      <c r="G40" s="329"/>
      <c r="H40" s="329"/>
      <c r="I40" s="41">
        <f t="shared" si="0"/>
        <v>0</v>
      </c>
      <c r="J40" s="165" t="str">
        <f t="shared" si="3"/>
        <v/>
      </c>
      <c r="K40" s="517"/>
    </row>
    <row r="41" spans="1:11" ht="12.75" customHeight="1" x14ac:dyDescent="0.25">
      <c r="A41" s="538" t="str">
        <f t="shared" si="7"/>
        <v/>
      </c>
      <c r="B41" s="142"/>
      <c r="C41" s="526"/>
      <c r="D41" s="531"/>
      <c r="E41" s="329"/>
      <c r="F41" s="329"/>
      <c r="G41" s="329"/>
      <c r="H41" s="329"/>
      <c r="I41" s="41">
        <f t="shared" si="0"/>
        <v>0</v>
      </c>
      <c r="J41" s="165" t="str">
        <f t="shared" si="3"/>
        <v/>
      </c>
      <c r="K41" s="517"/>
    </row>
    <row r="42" spans="1:11" ht="5.0999999999999996" customHeight="1" x14ac:dyDescent="0.25">
      <c r="A42" s="538"/>
      <c r="B42" s="142"/>
      <c r="C42" s="526"/>
      <c r="D42" s="531"/>
      <c r="E42" s="329"/>
      <c r="F42" s="329"/>
      <c r="G42" s="329"/>
      <c r="H42" s="329"/>
      <c r="I42" s="41"/>
      <c r="J42" s="165" t="str">
        <f t="shared" si="3"/>
        <v/>
      </c>
      <c r="K42" s="517"/>
    </row>
    <row r="43" spans="1:11" ht="12.75" customHeight="1" x14ac:dyDescent="0.25">
      <c r="A43" s="49" t="s">
        <v>772</v>
      </c>
      <c r="B43" s="199">
        <v>3</v>
      </c>
      <c r="C43" s="94">
        <f>SUM(C32:C42)</f>
        <v>0</v>
      </c>
      <c r="D43" s="230">
        <f t="shared" ref="D43:K43" si="8">SUM(D32:D42)</f>
        <v>0</v>
      </c>
      <c r="E43" s="51">
        <f t="shared" si="8"/>
        <v>0</v>
      </c>
      <c r="F43" s="51">
        <f t="shared" si="8"/>
        <v>0</v>
      </c>
      <c r="G43" s="51">
        <f t="shared" si="8"/>
        <v>0</v>
      </c>
      <c r="H43" s="51">
        <f>SUM(H32:H42)</f>
        <v>0</v>
      </c>
      <c r="I43" s="51">
        <f>G43-H43</f>
        <v>0</v>
      </c>
      <c r="J43" s="281" t="str">
        <f t="shared" si="3"/>
        <v/>
      </c>
      <c r="K43" s="198">
        <f t="shared" si="8"/>
        <v>0</v>
      </c>
    </row>
    <row r="44" spans="1:11" ht="12.75" customHeight="1" x14ac:dyDescent="0.25">
      <c r="A44" s="53" t="str">
        <f>head27a</f>
        <v>References</v>
      </c>
      <c r="C44" s="40"/>
      <c r="D44" s="40"/>
      <c r="E44" s="40"/>
      <c r="F44" s="40"/>
      <c r="G44" s="40"/>
      <c r="H44" s="40"/>
      <c r="I44" s="40"/>
      <c r="J44" s="40"/>
      <c r="K44" s="40"/>
    </row>
    <row r="45" spans="1:11" ht="12.75" customHeight="1" x14ac:dyDescent="0.25">
      <c r="A45" s="72" t="s">
        <v>984</v>
      </c>
      <c r="C45" s="55"/>
      <c r="D45" s="55"/>
      <c r="E45" s="55"/>
      <c r="F45" s="55"/>
      <c r="G45" s="55"/>
      <c r="H45" s="55"/>
      <c r="I45" s="55"/>
      <c r="J45" s="55"/>
      <c r="K45" s="55"/>
    </row>
    <row r="46" spans="1:11" ht="12.75" customHeight="1" x14ac:dyDescent="0.25">
      <c r="A46" s="72" t="s">
        <v>985</v>
      </c>
      <c r="C46" s="55"/>
      <c r="D46" s="55"/>
      <c r="E46" s="55"/>
      <c r="F46" s="55"/>
      <c r="G46" s="55"/>
      <c r="H46" s="55"/>
      <c r="I46" s="55"/>
      <c r="J46" s="55"/>
      <c r="K46" s="55"/>
    </row>
    <row r="47" spans="1:11" ht="12.75" customHeight="1" x14ac:dyDescent="0.25">
      <c r="A47" s="56" t="s">
        <v>630</v>
      </c>
      <c r="C47" s="55"/>
      <c r="D47" s="55"/>
      <c r="E47" s="55"/>
      <c r="F47" s="55"/>
      <c r="G47" s="55"/>
      <c r="H47" s="55"/>
      <c r="I47" s="55"/>
      <c r="J47" s="55"/>
      <c r="K47" s="55"/>
    </row>
    <row r="48" spans="1:11" ht="12.75" customHeight="1" x14ac:dyDescent="0.25">
      <c r="A48" s="72" t="s">
        <v>652</v>
      </c>
      <c r="C48" s="55"/>
      <c r="D48" s="55"/>
      <c r="E48" s="55"/>
      <c r="F48" s="55"/>
      <c r="G48" s="55"/>
      <c r="H48" s="55"/>
      <c r="I48" s="55"/>
      <c r="J48" s="55"/>
      <c r="K48" s="55"/>
    </row>
    <row r="49" spans="1:11" ht="12.75" customHeight="1" x14ac:dyDescent="0.25">
      <c r="A49" s="274" t="s">
        <v>583</v>
      </c>
      <c r="B49" s="58"/>
      <c r="C49" s="60"/>
      <c r="D49" s="60"/>
      <c r="E49" s="60"/>
      <c r="F49" s="60"/>
      <c r="G49" s="60"/>
      <c r="H49" s="60"/>
      <c r="I49" s="60"/>
      <c r="J49" s="60"/>
      <c r="K49" s="60"/>
    </row>
    <row r="50" spans="1:11" ht="11.25" customHeight="1" x14ac:dyDescent="0.25">
      <c r="A50" s="59"/>
      <c r="B50" s="58"/>
      <c r="C50" s="60"/>
      <c r="D50" s="60"/>
      <c r="E50" s="60"/>
      <c r="F50" s="60"/>
      <c r="G50" s="60"/>
      <c r="H50" s="60"/>
      <c r="I50" s="60"/>
      <c r="J50" s="60"/>
      <c r="K50" s="60"/>
    </row>
  </sheetData>
  <sheetProtection sheet="1" objects="1" scenarios="1"/>
  <mergeCells count="4">
    <mergeCell ref="A2:A3"/>
    <mergeCell ref="B2:B3"/>
    <mergeCell ref="A1:K1"/>
    <mergeCell ref="D2:K2"/>
  </mergeCells>
  <phoneticPr fontId="3" type="noConversion"/>
  <printOptions horizontalCentered="1"/>
  <pageMargins left="0.19685039370078741" right="0.19685039370078741" top="0.59055118110236227" bottom="0.59055118110236227" header="0.51181102362204722" footer="0.39370078740157483"/>
  <pageSetup paperSize="9" scale="90" orientation="portrait" r:id="rId1"/>
  <headerFooter alignWithMargins="0"/>
  <ignoredErrors>
    <ignoredError sqref="A6:A41" unlocked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8">
    <tabColor indexed="42"/>
    <pageSetUpPr fitToPage="1"/>
  </sheetPr>
  <dimension ref="A1:J53"/>
  <sheetViews>
    <sheetView showGridLines="0" view="pageBreakPreview" zoomScale="110" zoomScaleNormal="100" zoomScaleSheetLayoutView="110" workbookViewId="0">
      <pane xSplit="1" ySplit="4" topLeftCell="B5" activePane="bottomRight" state="frozen"/>
      <selection pane="topRight"/>
      <selection pane="bottomLeft"/>
      <selection pane="bottomRight" activeCell="F19" sqref="F19"/>
    </sheetView>
  </sheetViews>
  <sheetFormatPr defaultColWidth="9.140625" defaultRowHeight="12.75" x14ac:dyDescent="0.25"/>
  <cols>
    <col min="1" max="1" width="35.140625" style="22" customWidth="1"/>
    <col min="2" max="10" width="11.28515625" style="22" customWidth="1"/>
    <col min="11" max="11" width="9.85546875" style="22" customWidth="1"/>
    <col min="12" max="14" width="9.5703125" style="22" customWidth="1"/>
    <col min="15" max="16" width="9.85546875" style="22" customWidth="1"/>
    <col min="17" max="16384" width="9.140625" style="22"/>
  </cols>
  <sheetData>
    <row r="1" spans="1:10" ht="13.5" x14ac:dyDescent="0.25">
      <c r="A1" s="991" t="str">
        <f>muni&amp; " - "&amp;S71R&amp; " - "&amp;Head57</f>
        <v>WC025 Breede Valley - Supporting Table SC12 Monthly Budget Statement - capital expenditure trend - Q4 Fourth Quarter</v>
      </c>
      <c r="B1" s="992"/>
      <c r="C1" s="992"/>
      <c r="D1" s="992"/>
      <c r="E1" s="992"/>
      <c r="F1" s="992"/>
      <c r="G1" s="992"/>
      <c r="H1" s="992"/>
      <c r="I1" s="992"/>
      <c r="J1" s="993"/>
    </row>
    <row r="2" spans="1:10" x14ac:dyDescent="0.25">
      <c r="A2" s="980" t="s">
        <v>897</v>
      </c>
      <c r="B2" s="115" t="str">
        <f>Head1</f>
        <v>2017/18</v>
      </c>
      <c r="C2" s="975" t="str">
        <f>Head2</f>
        <v>Budget Year 2018/19</v>
      </c>
      <c r="D2" s="976"/>
      <c r="E2" s="976"/>
      <c r="F2" s="976"/>
      <c r="G2" s="976"/>
      <c r="H2" s="976"/>
      <c r="I2" s="976"/>
      <c r="J2" s="977"/>
    </row>
    <row r="3" spans="1:10" ht="38.25" x14ac:dyDescent="0.25">
      <c r="A3" s="981"/>
      <c r="B3" s="132" t="str">
        <f>Head5</f>
        <v>Audited Outcome</v>
      </c>
      <c r="C3" s="220" t="str">
        <f>Head6</f>
        <v>Original Budget</v>
      </c>
      <c r="D3" s="116" t="str">
        <f>Head7</f>
        <v>Adjusted Budget</v>
      </c>
      <c r="E3" s="116" t="str">
        <f>Head38</f>
        <v>Monthly actual</v>
      </c>
      <c r="F3" s="116" t="str">
        <f>Head39</f>
        <v>YearTD actual</v>
      </c>
      <c r="G3" s="116" t="str">
        <f>Head40</f>
        <v>YearTD budget</v>
      </c>
      <c r="H3" s="116" t="str">
        <f>Head41</f>
        <v>YTD variance</v>
      </c>
      <c r="I3" s="170" t="str">
        <f>Head41</f>
        <v>YTD variance</v>
      </c>
      <c r="J3" s="137" t="s">
        <v>82</v>
      </c>
    </row>
    <row r="4" spans="1:10" x14ac:dyDescent="0.25">
      <c r="A4" s="246" t="s">
        <v>678</v>
      </c>
      <c r="B4" s="247"/>
      <c r="C4" s="253"/>
      <c r="D4" s="249"/>
      <c r="E4" s="250"/>
      <c r="F4" s="250"/>
      <c r="G4" s="250"/>
      <c r="H4" s="250"/>
      <c r="I4" s="251" t="s">
        <v>586</v>
      </c>
      <c r="J4" s="252"/>
    </row>
    <row r="5" spans="1:10" ht="12.75" customHeight="1" x14ac:dyDescent="0.25">
      <c r="A5" s="32" t="s">
        <v>477</v>
      </c>
      <c r="B5" s="111"/>
      <c r="C5" s="221"/>
      <c r="D5" s="41"/>
      <c r="E5" s="41"/>
      <c r="F5" s="41"/>
      <c r="G5" s="41"/>
      <c r="H5" s="41"/>
      <c r="I5" s="101"/>
      <c r="J5" s="119"/>
    </row>
    <row r="6" spans="1:10" ht="12.75" customHeight="1" x14ac:dyDescent="0.25">
      <c r="A6" s="36" t="s">
        <v>792</v>
      </c>
      <c r="B6" s="526">
        <v>1419194.16</v>
      </c>
      <c r="C6" s="531">
        <v>12305496</v>
      </c>
      <c r="D6" s="329">
        <v>12069496</v>
      </c>
      <c r="E6" s="329">
        <v>2062645.29</v>
      </c>
      <c r="F6" s="41">
        <f>IF(E6&gt;0,E6,"")</f>
        <v>2062645.29</v>
      </c>
      <c r="G6" s="41">
        <f>IF(D6&gt;0,D6,C6)</f>
        <v>12069496</v>
      </c>
      <c r="H6" s="41">
        <f t="shared" ref="H6:H16" si="0">IF(F6="",0,G6-F6)</f>
        <v>10006850.710000001</v>
      </c>
      <c r="I6" s="101">
        <f t="shared" ref="I6:I16" si="1">IF(F6="","",IF(H6=0,"",H6/G6))</f>
        <v>0.82910261621529191</v>
      </c>
      <c r="J6" s="480">
        <f t="shared" ref="J6:J16" si="2">IF(F6="","",F6/$C$18)</f>
        <v>9.1059111601059731E-3</v>
      </c>
    </row>
    <row r="7" spans="1:10" ht="12.75" customHeight="1" x14ac:dyDescent="0.25">
      <c r="A7" s="36" t="s">
        <v>920</v>
      </c>
      <c r="B7" s="526">
        <v>3446428.0300000007</v>
      </c>
      <c r="C7" s="531">
        <v>6409200</v>
      </c>
      <c r="D7" s="329">
        <v>28862714</v>
      </c>
      <c r="E7" s="329">
        <v>7723692.1100000003</v>
      </c>
      <c r="F7" s="41">
        <f>IF(E7&gt;0,E7+F6,"")</f>
        <v>9786337.4000000004</v>
      </c>
      <c r="G7" s="41">
        <f>IF(D7&gt;0,D7+D6,C7+C6)</f>
        <v>40932210</v>
      </c>
      <c r="H7" s="41">
        <f t="shared" si="0"/>
        <v>31145872.600000001</v>
      </c>
      <c r="I7" s="101">
        <f t="shared" si="1"/>
        <v>0.76091353484212065</v>
      </c>
      <c r="J7" s="480">
        <f t="shared" si="2"/>
        <v>4.3203511228642938E-2</v>
      </c>
    </row>
    <row r="8" spans="1:10" ht="12.75" customHeight="1" x14ac:dyDescent="0.25">
      <c r="A8" s="36" t="s">
        <v>552</v>
      </c>
      <c r="B8" s="526">
        <v>8678196.3399999999</v>
      </c>
      <c r="C8" s="531">
        <v>17428000</v>
      </c>
      <c r="D8" s="329">
        <v>14425484</v>
      </c>
      <c r="E8" s="329">
        <v>26579793.239999998</v>
      </c>
      <c r="F8" s="41">
        <f t="shared" ref="F8:F17" si="3">IF(E8&gt;0,E8+F7,"")</f>
        <v>36366130.640000001</v>
      </c>
      <c r="G8" s="41">
        <f>IF(D8&gt;0,D8+G7,C8+G7)</f>
        <v>55357694</v>
      </c>
      <c r="H8" s="41">
        <f t="shared" si="0"/>
        <v>18991563.359999999</v>
      </c>
      <c r="I8" s="101">
        <f t="shared" si="1"/>
        <v>0.34306998698320057</v>
      </c>
      <c r="J8" s="480">
        <f t="shared" si="2"/>
        <v>0.16054469299694654</v>
      </c>
    </row>
    <row r="9" spans="1:10" ht="12.75" customHeight="1" x14ac:dyDescent="0.25">
      <c r="A9" s="36" t="s">
        <v>921</v>
      </c>
      <c r="B9" s="526">
        <v>12521348.469999999</v>
      </c>
      <c r="C9" s="531">
        <v>11660000</v>
      </c>
      <c r="D9" s="329">
        <v>15251090</v>
      </c>
      <c r="E9" s="329">
        <v>21347841.449999999</v>
      </c>
      <c r="F9" s="41">
        <f t="shared" si="3"/>
        <v>57713972.090000004</v>
      </c>
      <c r="G9" s="41">
        <f t="shared" ref="G9:G17" si="4">IF(D9&gt;0,D9+G8,C9+G8)</f>
        <v>70608784</v>
      </c>
      <c r="H9" s="41">
        <f t="shared" si="0"/>
        <v>12894811.909999996</v>
      </c>
      <c r="I9" s="101">
        <f t="shared" si="1"/>
        <v>0.18262333918680707</v>
      </c>
      <c r="J9" s="480">
        <f t="shared" si="2"/>
        <v>0.25478850149187582</v>
      </c>
    </row>
    <row r="10" spans="1:10" ht="12.75" customHeight="1" x14ac:dyDescent="0.25">
      <c r="A10" s="36" t="s">
        <v>922</v>
      </c>
      <c r="B10" s="526">
        <v>10392168.059999999</v>
      </c>
      <c r="C10" s="531">
        <v>13046000</v>
      </c>
      <c r="D10" s="329">
        <v>50732559</v>
      </c>
      <c r="E10" s="329">
        <v>23254945.260000002</v>
      </c>
      <c r="F10" s="41">
        <f t="shared" si="3"/>
        <v>80968917.350000009</v>
      </c>
      <c r="G10" s="41">
        <f t="shared" si="4"/>
        <v>121341343</v>
      </c>
      <c r="H10" s="41">
        <f t="shared" si="0"/>
        <v>40372425.649999991</v>
      </c>
      <c r="I10" s="101">
        <f t="shared" si="1"/>
        <v>0.33271780789503863</v>
      </c>
      <c r="J10" s="480">
        <f t="shared" si="2"/>
        <v>0.3574515558703083</v>
      </c>
    </row>
    <row r="11" spans="1:10" ht="12.75" customHeight="1" x14ac:dyDescent="0.25">
      <c r="A11" s="36" t="s">
        <v>923</v>
      </c>
      <c r="B11" s="526">
        <v>2392678.7400000012</v>
      </c>
      <c r="C11" s="531">
        <v>32714591</v>
      </c>
      <c r="D11" s="329">
        <v>18971645</v>
      </c>
      <c r="E11" s="329">
        <v>5478738.7399999993</v>
      </c>
      <c r="F11" s="41">
        <f t="shared" si="3"/>
        <v>86447656.090000004</v>
      </c>
      <c r="G11" s="41">
        <f t="shared" si="4"/>
        <v>140312988</v>
      </c>
      <c r="H11" s="41">
        <f t="shared" si="0"/>
        <v>53865331.909999996</v>
      </c>
      <c r="I11" s="101">
        <f t="shared" si="1"/>
        <v>0.38389412610898144</v>
      </c>
      <c r="J11" s="480">
        <f t="shared" si="2"/>
        <v>0.38163841362900264</v>
      </c>
    </row>
    <row r="12" spans="1:10" ht="12.75" customHeight="1" x14ac:dyDescent="0.25">
      <c r="A12" s="36" t="s">
        <v>924</v>
      </c>
      <c r="B12" s="526">
        <v>3280830.5399999996</v>
      </c>
      <c r="C12" s="531">
        <v>9950000</v>
      </c>
      <c r="D12" s="329">
        <v>9500000</v>
      </c>
      <c r="E12" s="329">
        <v>11559470.91</v>
      </c>
      <c r="F12" s="41">
        <f t="shared" si="3"/>
        <v>98007127</v>
      </c>
      <c r="G12" s="41">
        <f t="shared" si="4"/>
        <v>149812988</v>
      </c>
      <c r="H12" s="41">
        <f t="shared" si="0"/>
        <v>51805861</v>
      </c>
      <c r="I12" s="101">
        <f t="shared" si="1"/>
        <v>0.34580353607258674</v>
      </c>
      <c r="J12" s="480">
        <f t="shared" si="2"/>
        <v>0.43266973524043167</v>
      </c>
    </row>
    <row r="13" spans="1:10" ht="12.75" customHeight="1" x14ac:dyDescent="0.25">
      <c r="A13" s="36" t="s">
        <v>925</v>
      </c>
      <c r="B13" s="526">
        <v>3612800.8</v>
      </c>
      <c r="C13" s="531">
        <v>7650000</v>
      </c>
      <c r="D13" s="329">
        <v>13800000</v>
      </c>
      <c r="E13" s="329">
        <v>5921852.709999999</v>
      </c>
      <c r="F13" s="41">
        <f t="shared" si="3"/>
        <v>103928979.70999999</v>
      </c>
      <c r="G13" s="41">
        <f t="shared" si="4"/>
        <v>163612988</v>
      </c>
      <c r="H13" s="41">
        <f t="shared" si="0"/>
        <v>59684008.290000007</v>
      </c>
      <c r="I13" s="101">
        <f t="shared" si="1"/>
        <v>0.36478771654729519</v>
      </c>
      <c r="J13" s="480">
        <f t="shared" si="2"/>
        <v>0.45881279771555689</v>
      </c>
    </row>
    <row r="14" spans="1:10" ht="12.75" customHeight="1" x14ac:dyDescent="0.25">
      <c r="A14" s="36" t="s">
        <v>926</v>
      </c>
      <c r="B14" s="526">
        <v>26513949.549999993</v>
      </c>
      <c r="C14" s="531">
        <v>25394461</v>
      </c>
      <c r="D14" s="329">
        <v>23493029</v>
      </c>
      <c r="E14" s="329">
        <v>80220938.629999995</v>
      </c>
      <c r="F14" s="41">
        <f t="shared" si="3"/>
        <v>184149918.33999997</v>
      </c>
      <c r="G14" s="41">
        <f t="shared" si="4"/>
        <v>187106017</v>
      </c>
      <c r="H14" s="41">
        <f t="shared" si="0"/>
        <v>2956098.6600000262</v>
      </c>
      <c r="I14" s="101">
        <f t="shared" si="1"/>
        <v>1.5799057173025207E-2</v>
      </c>
      <c r="J14" s="480">
        <f t="shared" si="2"/>
        <v>0.81296226970019136</v>
      </c>
    </row>
    <row r="15" spans="1:10" ht="12.75" customHeight="1" x14ac:dyDescent="0.25">
      <c r="A15" s="36" t="s">
        <v>927</v>
      </c>
      <c r="B15" s="526">
        <v>11961420.52</v>
      </c>
      <c r="C15" s="531">
        <v>7650000</v>
      </c>
      <c r="D15" s="329">
        <v>28555088</v>
      </c>
      <c r="E15" s="329">
        <v>4454387.6100000003</v>
      </c>
      <c r="F15" s="41">
        <f t="shared" si="3"/>
        <v>188604305.94999999</v>
      </c>
      <c r="G15" s="41">
        <f t="shared" si="4"/>
        <v>215661105</v>
      </c>
      <c r="H15" s="41">
        <f t="shared" si="0"/>
        <v>27056799.050000012</v>
      </c>
      <c r="I15" s="101">
        <f t="shared" si="1"/>
        <v>0.12545979976315161</v>
      </c>
      <c r="J15" s="481">
        <f t="shared" si="2"/>
        <v>0.83262694886048305</v>
      </c>
    </row>
    <row r="16" spans="1:10" ht="12.75" customHeight="1" x14ac:dyDescent="0.25">
      <c r="A16" s="36" t="s">
        <v>928</v>
      </c>
      <c r="B16" s="526">
        <v>22284429.489999995</v>
      </c>
      <c r="C16" s="531">
        <v>11400000</v>
      </c>
      <c r="D16" s="329">
        <v>25207714</v>
      </c>
      <c r="E16" s="329">
        <v>15548183.369999997</v>
      </c>
      <c r="F16" s="41">
        <f t="shared" si="3"/>
        <v>204152489.31999999</v>
      </c>
      <c r="G16" s="41">
        <f t="shared" si="4"/>
        <v>240868819</v>
      </c>
      <c r="H16" s="41">
        <f t="shared" si="0"/>
        <v>36716329.680000007</v>
      </c>
      <c r="I16" s="101">
        <f t="shared" si="1"/>
        <v>0.15243288787827705</v>
      </c>
      <c r="J16" s="481">
        <f t="shared" si="2"/>
        <v>0.90126714461040625</v>
      </c>
    </row>
    <row r="17" spans="1:10" ht="12.75" customHeight="1" x14ac:dyDescent="0.25">
      <c r="A17" s="210" t="s">
        <v>929</v>
      </c>
      <c r="B17" s="527">
        <v>94518863.090000093</v>
      </c>
      <c r="C17" s="535">
        <v>70909429</v>
      </c>
      <c r="D17" s="529">
        <v>31584839.220000029</v>
      </c>
      <c r="E17" s="529">
        <v>28743525.049999993</v>
      </c>
      <c r="F17" s="85">
        <f t="shared" si="3"/>
        <v>232896014.36999997</v>
      </c>
      <c r="G17" s="85">
        <f t="shared" si="4"/>
        <v>272453658.22000003</v>
      </c>
      <c r="H17" s="85">
        <f>IF(F17="",0,G17-F17)</f>
        <v>39557643.850000054</v>
      </c>
      <c r="I17" s="275">
        <f>IF(F17="","",IF(H17=0,"",H17/G17))</f>
        <v>0.14519035680577344</v>
      </c>
      <c r="J17" s="482">
        <f>IF(F17="","",F17/$C$18)</f>
        <v>1.0281605017971771</v>
      </c>
    </row>
    <row r="18" spans="1:10" ht="12.75" customHeight="1" x14ac:dyDescent="0.25">
      <c r="A18" s="83" t="s">
        <v>576</v>
      </c>
      <c r="B18" s="207">
        <f>SUM(B6:B17)</f>
        <v>201022307.79000008</v>
      </c>
      <c r="C18" s="227">
        <f>SUM(C6:C17)</f>
        <v>226517177</v>
      </c>
      <c r="D18" s="68">
        <f>SUM(D6:D17)</f>
        <v>272453658.22000003</v>
      </c>
      <c r="E18" s="68">
        <f>SUM(E6:E17)</f>
        <v>232896014.36999997</v>
      </c>
      <c r="F18" s="283"/>
      <c r="G18" s="283"/>
      <c r="H18" s="283"/>
      <c r="I18" s="342"/>
      <c r="J18" s="197"/>
    </row>
    <row r="19" spans="1:10" ht="12.75" customHeight="1" x14ac:dyDescent="0.25">
      <c r="B19" s="76"/>
      <c r="C19" s="76"/>
      <c r="D19" s="76"/>
      <c r="E19" s="76"/>
      <c r="F19" s="76"/>
      <c r="G19" s="76"/>
      <c r="H19" s="76"/>
      <c r="I19" s="76"/>
      <c r="J19" s="76"/>
    </row>
    <row r="20" spans="1:10" ht="12.75" customHeight="1" x14ac:dyDescent="0.25">
      <c r="B20" s="677">
        <f>B18-'C5-Capex'!C74</f>
        <v>0</v>
      </c>
      <c r="C20" s="677">
        <f>C18-'C5-Capex'!D74</f>
        <v>0</v>
      </c>
      <c r="D20" s="677">
        <f>D18-'C5-Capex'!E74</f>
        <v>0</v>
      </c>
      <c r="E20" s="677">
        <f>E18-'C5-Capex'!G74</f>
        <v>0</v>
      </c>
      <c r="F20" s="677"/>
      <c r="G20" s="677"/>
    </row>
    <row r="21" spans="1:10" ht="11.25" customHeight="1" x14ac:dyDescent="0.25"/>
    <row r="22" spans="1:10" ht="11.25" customHeight="1" x14ac:dyDescent="0.25"/>
    <row r="23" spans="1:10" ht="11.25" customHeight="1" x14ac:dyDescent="0.25"/>
    <row r="24" spans="1:10" ht="11.25" customHeight="1" x14ac:dyDescent="0.25"/>
    <row r="25" spans="1:10" ht="11.25" customHeight="1" x14ac:dyDescent="0.25"/>
    <row r="26" spans="1:10" ht="11.25" customHeight="1" x14ac:dyDescent="0.25"/>
    <row r="27" spans="1:10" ht="5.0999999999999996" customHeight="1" x14ac:dyDescent="0.25"/>
    <row r="28" spans="1:10" ht="11.25" customHeight="1" x14ac:dyDescent="0.25"/>
    <row r="29" spans="1:10" ht="5.0999999999999996" customHeight="1" x14ac:dyDescent="0.25"/>
    <row r="30" spans="1:10" ht="11.25" customHeight="1" x14ac:dyDescent="0.25"/>
    <row r="31" spans="1:10" ht="11.25" customHeight="1" x14ac:dyDescent="0.25"/>
    <row r="32" spans="1:10" ht="11.25" customHeight="1" x14ac:dyDescent="0.25"/>
    <row r="33" ht="5.0999999999999996" customHeight="1" x14ac:dyDescent="0.25"/>
    <row r="34" ht="11.25" customHeight="1" x14ac:dyDescent="0.25"/>
    <row r="35" ht="11.25" customHeight="1" x14ac:dyDescent="0.25"/>
    <row r="36" ht="11.25" customHeight="1" x14ac:dyDescent="0.25"/>
    <row r="37" ht="11.25" customHeight="1" x14ac:dyDescent="0.25"/>
    <row r="38" ht="11.25" customHeight="1" x14ac:dyDescent="0.25"/>
    <row r="39"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5.0999999999999996" customHeight="1" x14ac:dyDescent="0.25"/>
    <row r="47" ht="11.25" customHeight="1" x14ac:dyDescent="0.25"/>
    <row r="48" ht="11.25" customHeight="1" x14ac:dyDescent="0.25"/>
    <row r="50" ht="5.0999999999999996" customHeight="1" x14ac:dyDescent="0.25"/>
    <row r="53" ht="5.0999999999999996" customHeight="1" x14ac:dyDescent="0.25"/>
  </sheetData>
  <sheetProtection sheet="1" objects="1" scenarios="1"/>
  <mergeCells count="3">
    <mergeCell ref="A2:A3"/>
    <mergeCell ref="A1:J1"/>
    <mergeCell ref="C2:J2"/>
  </mergeCells>
  <phoneticPr fontId="3" type="noConversion"/>
  <printOptions horizontalCentered="1"/>
  <pageMargins left="0.19685039370078741" right="0.19685039370078741" top="0.59055118110236215" bottom="0.59055118110236215"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0">
    <tabColor rgb="FF92D050"/>
    <pageSetUpPr fitToPage="1"/>
  </sheetPr>
  <dimension ref="A1:F110"/>
  <sheetViews>
    <sheetView topLeftCell="E1" workbookViewId="0">
      <pane ySplit="1" topLeftCell="A83" activePane="bottomLeft" state="frozen"/>
      <selection activeCell="T26" sqref="T26"/>
      <selection pane="bottomLeft" activeCell="F100" sqref="F100"/>
    </sheetView>
  </sheetViews>
  <sheetFormatPr defaultColWidth="9.140625" defaultRowHeight="11.25" x14ac:dyDescent="0.2"/>
  <cols>
    <col min="1" max="1" width="10.7109375" style="3" customWidth="1"/>
    <col min="2" max="2" width="92.140625" style="1" customWidth="1"/>
    <col min="3" max="3" width="18.7109375" style="1" customWidth="1"/>
    <col min="4" max="4" width="18.5703125" style="1" customWidth="1"/>
    <col min="5" max="5" width="61.5703125" style="1" customWidth="1"/>
    <col min="6" max="6" width="78.140625" style="1" customWidth="1"/>
    <col min="7" max="16384" width="9.140625" style="1"/>
  </cols>
  <sheetData>
    <row r="1" spans="1:4" x14ac:dyDescent="0.2">
      <c r="A1" s="943" t="s">
        <v>653</v>
      </c>
      <c r="B1" s="944"/>
      <c r="C1" s="944"/>
      <c r="D1" s="945"/>
    </row>
    <row r="2" spans="1:4" x14ac:dyDescent="0.2">
      <c r="A2" s="505" t="s">
        <v>917</v>
      </c>
      <c r="B2" s="506" t="str">
        <f>HLOOKUP(MTREF,Headings,2)</f>
        <v>2017/18</v>
      </c>
      <c r="C2" s="507" t="s">
        <v>42</v>
      </c>
      <c r="D2" s="508"/>
    </row>
    <row r="3" spans="1:4" x14ac:dyDescent="0.2">
      <c r="A3" s="509" t="s">
        <v>950</v>
      </c>
      <c r="B3" s="510" t="str">
        <f>HLOOKUP(MTREF,Headings,5)</f>
        <v>Budget Year 2018/19</v>
      </c>
      <c r="C3" s="510" t="s">
        <v>47</v>
      </c>
      <c r="D3" s="511"/>
    </row>
    <row r="4" spans="1:4" x14ac:dyDescent="0.2">
      <c r="A4" s="509" t="s">
        <v>695</v>
      </c>
      <c r="B4" s="510" t="str">
        <f>HLOOKUP(MTREF,Headings,4)</f>
        <v>2018/19</v>
      </c>
      <c r="C4" s="510" t="s">
        <v>48</v>
      </c>
      <c r="D4" s="511"/>
    </row>
    <row r="5" spans="1:4" x14ac:dyDescent="0.2">
      <c r="A5" s="509" t="s">
        <v>951</v>
      </c>
      <c r="B5" s="510" t="str">
        <f>HLOOKUP(MTREF,Headings,3)</f>
        <v>2018/19 Medium Term Revenue &amp; Expenditure Framework</v>
      </c>
      <c r="C5" s="510" t="s">
        <v>43</v>
      </c>
      <c r="D5" s="511"/>
    </row>
    <row r="6" spans="1:4" x14ac:dyDescent="0.2">
      <c r="A6" s="2" t="s">
        <v>952</v>
      </c>
      <c r="B6" s="1" t="s">
        <v>523</v>
      </c>
      <c r="D6" s="7"/>
    </row>
    <row r="7" spans="1:4" x14ac:dyDescent="0.2">
      <c r="A7" s="2" t="s">
        <v>560</v>
      </c>
      <c r="B7" s="1" t="s">
        <v>561</v>
      </c>
      <c r="D7" s="7"/>
    </row>
    <row r="8" spans="1:4" x14ac:dyDescent="0.2">
      <c r="A8" s="2" t="s">
        <v>979</v>
      </c>
      <c r="B8" s="1" t="s">
        <v>980</v>
      </c>
      <c r="D8" s="7"/>
    </row>
    <row r="9" spans="1:4" x14ac:dyDescent="0.2">
      <c r="A9" s="2" t="s">
        <v>953</v>
      </c>
      <c r="B9" s="1" t="s">
        <v>620</v>
      </c>
      <c r="D9" s="7"/>
    </row>
    <row r="10" spans="1:4" x14ac:dyDescent="0.2">
      <c r="A10" s="2" t="s">
        <v>954</v>
      </c>
      <c r="B10" s="1" t="s">
        <v>840</v>
      </c>
      <c r="D10" s="7"/>
    </row>
    <row r="11" spans="1:4" x14ac:dyDescent="0.2">
      <c r="A11" s="2" t="s">
        <v>955</v>
      </c>
      <c r="B11" s="1" t="s">
        <v>841</v>
      </c>
      <c r="D11" s="7"/>
    </row>
    <row r="12" spans="1:4" x14ac:dyDescent="0.2">
      <c r="A12" s="509" t="s">
        <v>956</v>
      </c>
      <c r="B12" s="510" t="str">
        <f>HLOOKUP(MTREF,Headings,5)</f>
        <v>Budget Year 2018/19</v>
      </c>
      <c r="C12" s="510" t="s">
        <v>44</v>
      </c>
      <c r="D12" s="512" t="s">
        <v>711</v>
      </c>
    </row>
    <row r="13" spans="1:4" x14ac:dyDescent="0.2">
      <c r="A13" s="509" t="s">
        <v>957</v>
      </c>
      <c r="B13" s="510" t="str">
        <f>HLOOKUP(MTREF,Headings,6)</f>
        <v>Budget Year +1 2019/20</v>
      </c>
      <c r="C13" s="510" t="s">
        <v>45</v>
      </c>
      <c r="D13" s="512" t="s">
        <v>712</v>
      </c>
    </row>
    <row r="14" spans="1:4" x14ac:dyDescent="0.2">
      <c r="A14" s="509" t="s">
        <v>959</v>
      </c>
      <c r="B14" s="510" t="str">
        <f>HLOOKUP(MTREF,Headings,7)</f>
        <v>Budget Year +2 2020/21</v>
      </c>
      <c r="C14" s="510" t="s">
        <v>46</v>
      </c>
      <c r="D14" s="512" t="s">
        <v>713</v>
      </c>
    </row>
    <row r="15" spans="1:4" x14ac:dyDescent="0.2">
      <c r="A15" s="2" t="s">
        <v>960</v>
      </c>
      <c r="B15" s="1" t="s">
        <v>720</v>
      </c>
      <c r="D15" s="12" t="s">
        <v>714</v>
      </c>
    </row>
    <row r="16" spans="1:4" x14ac:dyDescent="0.2">
      <c r="A16" s="2" t="s">
        <v>961</v>
      </c>
      <c r="B16" s="1" t="s">
        <v>721</v>
      </c>
      <c r="D16" s="12" t="s">
        <v>715</v>
      </c>
    </row>
    <row r="17" spans="1:4" x14ac:dyDescent="0.2">
      <c r="A17" s="2" t="s">
        <v>962</v>
      </c>
      <c r="B17" s="1" t="s">
        <v>722</v>
      </c>
      <c r="D17" s="12" t="s">
        <v>716</v>
      </c>
    </row>
    <row r="18" spans="1:4" x14ac:dyDescent="0.2">
      <c r="A18" s="2" t="s">
        <v>963</v>
      </c>
      <c r="B18" s="1" t="s">
        <v>723</v>
      </c>
      <c r="D18" s="12" t="s">
        <v>717</v>
      </c>
    </row>
    <row r="19" spans="1:4" x14ac:dyDescent="0.2">
      <c r="A19" s="2" t="s">
        <v>964</v>
      </c>
      <c r="B19" s="1" t="s">
        <v>569</v>
      </c>
      <c r="D19" s="12" t="s">
        <v>718</v>
      </c>
    </row>
    <row r="20" spans="1:4" x14ac:dyDescent="0.2">
      <c r="A20" s="2" t="s">
        <v>965</v>
      </c>
      <c r="B20" s="1" t="s">
        <v>570</v>
      </c>
      <c r="D20" s="12" t="s">
        <v>719</v>
      </c>
    </row>
    <row r="21" spans="1:4" x14ac:dyDescent="0.2">
      <c r="A21" s="2" t="s">
        <v>966</v>
      </c>
      <c r="B21" s="1" t="s">
        <v>571</v>
      </c>
      <c r="D21" s="12" t="s">
        <v>629</v>
      </c>
    </row>
    <row r="22" spans="1:4" x14ac:dyDescent="0.2">
      <c r="A22" s="2" t="s">
        <v>967</v>
      </c>
      <c r="B22" s="1" t="s">
        <v>572</v>
      </c>
      <c r="D22" s="12" t="s">
        <v>485</v>
      </c>
    </row>
    <row r="23" spans="1:4" x14ac:dyDescent="0.2">
      <c r="A23" s="2" t="s">
        <v>968</v>
      </c>
      <c r="B23" s="1" t="s">
        <v>450</v>
      </c>
      <c r="D23" s="12" t="s">
        <v>486</v>
      </c>
    </row>
    <row r="24" spans="1:4" x14ac:dyDescent="0.2">
      <c r="A24" s="2" t="s">
        <v>969</v>
      </c>
      <c r="B24" s="1" t="s">
        <v>449</v>
      </c>
      <c r="D24" s="12" t="s">
        <v>487</v>
      </c>
    </row>
    <row r="25" spans="1:4" x14ac:dyDescent="0.2">
      <c r="A25" s="2" t="s">
        <v>970</v>
      </c>
      <c r="B25" s="1" t="s">
        <v>573</v>
      </c>
      <c r="D25" s="12" t="s">
        <v>488</v>
      </c>
    </row>
    <row r="26" spans="1:4" x14ac:dyDescent="0.2">
      <c r="A26" s="2" t="s">
        <v>971</v>
      </c>
      <c r="B26" s="1" t="s">
        <v>958</v>
      </c>
      <c r="D26" s="12" t="s">
        <v>489</v>
      </c>
    </row>
    <row r="27" spans="1:4" x14ac:dyDescent="0.2">
      <c r="A27" s="2" t="s">
        <v>638</v>
      </c>
      <c r="B27" s="1" t="s">
        <v>684</v>
      </c>
      <c r="D27" s="12" t="s">
        <v>639</v>
      </c>
    </row>
    <row r="28" spans="1:4" x14ac:dyDescent="0.2">
      <c r="A28" s="2" t="s">
        <v>558</v>
      </c>
      <c r="B28" s="1" t="s">
        <v>439</v>
      </c>
      <c r="D28" s="12" t="s">
        <v>559</v>
      </c>
    </row>
    <row r="29" spans="1:4" x14ac:dyDescent="0.2">
      <c r="A29" s="2" t="s">
        <v>669</v>
      </c>
      <c r="B29" s="1" t="s">
        <v>670</v>
      </c>
      <c r="D29" s="12" t="s">
        <v>671</v>
      </c>
    </row>
    <row r="30" spans="1:4" x14ac:dyDescent="0.2">
      <c r="A30" s="2" t="s">
        <v>672</v>
      </c>
      <c r="B30" s="1" t="s">
        <v>582</v>
      </c>
      <c r="D30" s="12"/>
    </row>
    <row r="31" spans="1:4" x14ac:dyDescent="0.2">
      <c r="A31" s="2" t="s">
        <v>656</v>
      </c>
      <c r="B31" s="1" t="s">
        <v>657</v>
      </c>
      <c r="D31" s="12"/>
    </row>
    <row r="32" spans="1:4" x14ac:dyDescent="0.2">
      <c r="A32" s="2" t="s">
        <v>574</v>
      </c>
      <c r="B32" s="1" t="s">
        <v>907</v>
      </c>
      <c r="D32" s="12" t="s">
        <v>575</v>
      </c>
    </row>
    <row r="33" spans="1:4" x14ac:dyDescent="0.2">
      <c r="A33" s="2" t="s">
        <v>773</v>
      </c>
      <c r="B33" s="1" t="s">
        <v>779</v>
      </c>
      <c r="D33" s="12"/>
    </row>
    <row r="34" spans="1:4" x14ac:dyDescent="0.2">
      <c r="A34" s="2" t="s">
        <v>774</v>
      </c>
      <c r="B34" s="1" t="s">
        <v>780</v>
      </c>
      <c r="D34" s="12"/>
    </row>
    <row r="35" spans="1:4" x14ac:dyDescent="0.2">
      <c r="A35" s="2" t="s">
        <v>775</v>
      </c>
      <c r="B35" s="1" t="s">
        <v>529</v>
      </c>
      <c r="D35" s="12"/>
    </row>
    <row r="36" spans="1:4" x14ac:dyDescent="0.2">
      <c r="A36" s="2" t="s">
        <v>776</v>
      </c>
      <c r="B36" s="1" t="s">
        <v>623</v>
      </c>
      <c r="D36" s="12"/>
    </row>
    <row r="37" spans="1:4" x14ac:dyDescent="0.2">
      <c r="A37" s="2" t="s">
        <v>777</v>
      </c>
      <c r="B37" s="1" t="s">
        <v>624</v>
      </c>
      <c r="D37" s="12"/>
    </row>
    <row r="38" spans="1:4" x14ac:dyDescent="0.2">
      <c r="A38" s="2" t="s">
        <v>778</v>
      </c>
      <c r="B38" s="1" t="s">
        <v>527</v>
      </c>
      <c r="D38" s="12"/>
    </row>
    <row r="39" spans="1:4" x14ac:dyDescent="0.2">
      <c r="A39" s="2" t="s">
        <v>528</v>
      </c>
      <c r="B39" s="1" t="s">
        <v>594</v>
      </c>
      <c r="D39" s="12"/>
    </row>
    <row r="40" spans="1:4" x14ac:dyDescent="0.2">
      <c r="A40" s="2" t="s">
        <v>753</v>
      </c>
      <c r="B40" s="1" t="s">
        <v>685</v>
      </c>
      <c r="D40" s="12"/>
    </row>
    <row r="41" spans="1:4" x14ac:dyDescent="0.2">
      <c r="A41" s="2" t="s">
        <v>754</v>
      </c>
      <c r="B41" s="1" t="s">
        <v>686</v>
      </c>
      <c r="D41" s="12"/>
    </row>
    <row r="42" spans="1:4" x14ac:dyDescent="0.2">
      <c r="A42" s="2" t="s">
        <v>755</v>
      </c>
      <c r="B42" s="1" t="s">
        <v>760</v>
      </c>
      <c r="D42" s="12"/>
    </row>
    <row r="43" spans="1:4" x14ac:dyDescent="0.2">
      <c r="A43" s="2" t="s">
        <v>759</v>
      </c>
      <c r="B43" s="1" t="s">
        <v>728</v>
      </c>
      <c r="D43" s="12"/>
    </row>
    <row r="44" spans="1:4" x14ac:dyDescent="0.2">
      <c r="A44" s="2" t="s">
        <v>513</v>
      </c>
      <c r="B44" s="5" t="s">
        <v>729</v>
      </c>
      <c r="D44" s="12"/>
    </row>
    <row r="45" spans="1:4" x14ac:dyDescent="0.2">
      <c r="A45" s="2" t="s">
        <v>514</v>
      </c>
      <c r="B45" s="5" t="s">
        <v>794</v>
      </c>
      <c r="D45" s="12"/>
    </row>
    <row r="46" spans="1:4" x14ac:dyDescent="0.2">
      <c r="A46" s="2" t="s">
        <v>515</v>
      </c>
      <c r="B46" s="5" t="s">
        <v>484</v>
      </c>
      <c r="D46" s="12"/>
    </row>
    <row r="47" spans="1:4" x14ac:dyDescent="0.2">
      <c r="A47" s="2" t="s">
        <v>793</v>
      </c>
      <c r="B47" s="5" t="str">
        <f>Head3&amp;" Summary"</f>
        <v>2018/19 Medium Term Revenue &amp; Expenditure Framework Summary</v>
      </c>
      <c r="D47" s="12"/>
    </row>
    <row r="48" spans="1:4" x14ac:dyDescent="0.2">
      <c r="A48" s="2" t="s">
        <v>625</v>
      </c>
      <c r="B48" s="5" t="s">
        <v>628</v>
      </c>
      <c r="D48" s="12"/>
    </row>
    <row r="49" spans="1:4" x14ac:dyDescent="0.2">
      <c r="A49" s="2" t="s">
        <v>626</v>
      </c>
      <c r="B49" s="5" t="s">
        <v>627</v>
      </c>
      <c r="D49" s="12"/>
    </row>
    <row r="50" spans="1:4" x14ac:dyDescent="0.2">
      <c r="A50" s="2" t="s">
        <v>941</v>
      </c>
      <c r="B50" s="14" t="s">
        <v>469</v>
      </c>
      <c r="C50" s="15"/>
      <c r="D50" s="12"/>
    </row>
    <row r="51" spans="1:4" x14ac:dyDescent="0.2">
      <c r="A51" s="2" t="s">
        <v>655</v>
      </c>
      <c r="B51" s="5" t="s">
        <v>641</v>
      </c>
      <c r="D51" s="12"/>
    </row>
    <row r="52" spans="1:4" x14ac:dyDescent="0.2">
      <c r="A52" s="2" t="s">
        <v>584</v>
      </c>
      <c r="B52" s="5" t="s">
        <v>441</v>
      </c>
      <c r="D52" s="12"/>
    </row>
    <row r="53" spans="1:4" x14ac:dyDescent="0.2">
      <c r="A53" s="2" t="s">
        <v>648</v>
      </c>
      <c r="B53" s="5" t="s">
        <v>650</v>
      </c>
      <c r="D53" s="12"/>
    </row>
    <row r="54" spans="1:4" x14ac:dyDescent="0.2">
      <c r="A54" s="2" t="s">
        <v>649</v>
      </c>
      <c r="B54" s="5" t="s">
        <v>836</v>
      </c>
      <c r="D54" s="12"/>
    </row>
    <row r="55" spans="1:4" x14ac:dyDescent="0.2">
      <c r="A55" s="2" t="s">
        <v>831</v>
      </c>
      <c r="B55" s="5" t="s">
        <v>835</v>
      </c>
      <c r="D55" s="12"/>
    </row>
    <row r="56" spans="1:4" x14ac:dyDescent="0.2">
      <c r="A56" s="2" t="s">
        <v>832</v>
      </c>
      <c r="B56" s="5" t="s">
        <v>468</v>
      </c>
      <c r="D56" s="12"/>
    </row>
    <row r="57" spans="1:4" x14ac:dyDescent="0.2">
      <c r="A57" s="2" t="s">
        <v>833</v>
      </c>
      <c r="B57" s="5" t="s">
        <v>837</v>
      </c>
      <c r="D57" s="12"/>
    </row>
    <row r="58" spans="1:4" x14ac:dyDescent="0.2">
      <c r="A58" s="2" t="s">
        <v>834</v>
      </c>
      <c r="B58" s="5" t="s">
        <v>976</v>
      </c>
      <c r="D58" s="12"/>
    </row>
    <row r="59" spans="1:4" x14ac:dyDescent="0.2">
      <c r="A59" s="2" t="s">
        <v>676</v>
      </c>
      <c r="B59" s="5" t="s">
        <v>467</v>
      </c>
      <c r="D59" s="12"/>
    </row>
    <row r="60" spans="1:4" x14ac:dyDescent="0.2">
      <c r="A60" s="2" t="s">
        <v>800</v>
      </c>
      <c r="B60" s="5" t="s">
        <v>801</v>
      </c>
      <c r="D60" s="12"/>
    </row>
    <row r="61" spans="1:4" x14ac:dyDescent="0.2">
      <c r="A61" s="2" t="s">
        <v>726</v>
      </c>
      <c r="B61" s="457" t="str">
        <f>date</f>
        <v>Q4 Fourth Quarter</v>
      </c>
      <c r="D61" s="12"/>
    </row>
    <row r="62" spans="1:4" x14ac:dyDescent="0.2">
      <c r="A62" s="2" t="s">
        <v>981</v>
      </c>
      <c r="B62" s="5" t="s">
        <v>982</v>
      </c>
      <c r="D62" s="12"/>
    </row>
    <row r="63" spans="1:4" x14ac:dyDescent="0.2">
      <c r="A63" s="2" t="s">
        <v>983</v>
      </c>
      <c r="B63" s="5" t="s">
        <v>640</v>
      </c>
      <c r="D63" s="12"/>
    </row>
    <row r="64" spans="1:4" x14ac:dyDescent="0.2">
      <c r="A64" s="2" t="s">
        <v>12</v>
      </c>
      <c r="B64" s="5" t="s">
        <v>897</v>
      </c>
      <c r="C64" s="7" t="s">
        <v>49</v>
      </c>
      <c r="D64" s="513" t="e">
        <f>MONTH(date)</f>
        <v>#VALUE!</v>
      </c>
    </row>
    <row r="65" spans="1:6" x14ac:dyDescent="0.2">
      <c r="A65" s="2" t="s">
        <v>860</v>
      </c>
      <c r="B65" s="5" t="s">
        <v>858</v>
      </c>
      <c r="D65" s="12"/>
    </row>
    <row r="66" spans="1:6" x14ac:dyDescent="0.2">
      <c r="A66" s="2" t="s">
        <v>861</v>
      </c>
      <c r="B66" s="5" t="s">
        <v>859</v>
      </c>
      <c r="D66" s="12"/>
    </row>
    <row r="67" spans="1:6" x14ac:dyDescent="0.2">
      <c r="A67" s="2" t="s">
        <v>862</v>
      </c>
      <c r="B67" s="5" t="s">
        <v>864</v>
      </c>
      <c r="D67" s="12"/>
    </row>
    <row r="68" spans="1:6" x14ac:dyDescent="0.2">
      <c r="A68" s="2" t="s">
        <v>863</v>
      </c>
      <c r="B68" s="5" t="s">
        <v>665</v>
      </c>
      <c r="D68" s="12"/>
    </row>
    <row r="69" spans="1:6" x14ac:dyDescent="0.2">
      <c r="A69" s="2" t="s">
        <v>666</v>
      </c>
      <c r="B69" s="5" t="s">
        <v>703</v>
      </c>
      <c r="D69" s="12"/>
    </row>
    <row r="70" spans="1:6" x14ac:dyDescent="0.2">
      <c r="A70" s="2" t="s">
        <v>667</v>
      </c>
      <c r="B70" s="5" t="s">
        <v>704</v>
      </c>
      <c r="D70" s="12"/>
    </row>
    <row r="71" spans="1:6" x14ac:dyDescent="0.2">
      <c r="A71" s="2" t="s">
        <v>706</v>
      </c>
      <c r="B71" s="5" t="s">
        <v>705</v>
      </c>
      <c r="D71" s="12"/>
    </row>
    <row r="72" spans="1:6" x14ac:dyDescent="0.2">
      <c r="A72" s="948" t="s">
        <v>764</v>
      </c>
      <c r="B72" s="949"/>
      <c r="C72" s="949"/>
      <c r="D72" s="950"/>
    </row>
    <row r="73" spans="1:6" x14ac:dyDescent="0.2">
      <c r="A73" s="514" t="s">
        <v>668</v>
      </c>
      <c r="B73" s="510" t="str">
        <f>'Lookup and lists'!B27</f>
        <v>WC025 Breede Valley</v>
      </c>
      <c r="C73" s="510"/>
      <c r="D73" s="3"/>
    </row>
    <row r="74" spans="1:6" x14ac:dyDescent="0.2">
      <c r="A74" s="514" t="s">
        <v>85</v>
      </c>
      <c r="B74" s="515">
        <v>2</v>
      </c>
      <c r="C74" s="510" t="s">
        <v>156</v>
      </c>
      <c r="D74" s="3">
        <v>3</v>
      </c>
    </row>
    <row r="75" spans="1:6" x14ac:dyDescent="0.2">
      <c r="A75" s="469" t="str">
        <f>IF((MuniEntities=1)*(MuniType=2),"YES","NO")</f>
        <v>NO</v>
      </c>
      <c r="B75" s="1" t="s">
        <v>635</v>
      </c>
      <c r="C75" s="456"/>
      <c r="D75" s="3"/>
    </row>
    <row r="76" spans="1:6" x14ac:dyDescent="0.2">
      <c r="A76" s="946" t="s">
        <v>804</v>
      </c>
      <c r="B76" s="947"/>
      <c r="C76" s="316"/>
      <c r="D76" s="16"/>
    </row>
    <row r="77" spans="1:6" x14ac:dyDescent="0.2">
      <c r="A77" s="9" t="s">
        <v>647</v>
      </c>
      <c r="B77" s="343" t="str">
        <f t="shared" ref="B77:B83" si="0">IF(Consolques="YES",E77,F77)</f>
        <v>Table C1 Monthly Budget Statement Summary</v>
      </c>
      <c r="C77" s="6"/>
      <c r="D77" s="12" t="s">
        <v>88</v>
      </c>
      <c r="E77" s="1" t="str">
        <f>D77&amp;"Consolidated Monthly Budget Statement Summary"</f>
        <v>Table C1 Consolidated Monthly Budget Statement Summary</v>
      </c>
      <c r="F77" s="1" t="str">
        <f>D77&amp;"Monthly Budget Statement Summary"</f>
        <v>Table C1 Monthly Budget Statement Summary</v>
      </c>
    </row>
    <row r="78" spans="1:6" x14ac:dyDescent="0.2">
      <c r="A78" s="10" t="s">
        <v>587</v>
      </c>
      <c r="B78" s="1" t="str">
        <f t="shared" si="0"/>
        <v>Table C3 Monthly Budget Statement - Financial Performance (revenue and expenditure by municipal vote)</v>
      </c>
      <c r="D78" s="12" t="s">
        <v>90</v>
      </c>
      <c r="E78" s="1" t="str">
        <f>D78&amp;"Consolidated Monthly Budget Statement - Financial Performance (revenue and expenditure by municipal vote) "</f>
        <v xml:space="preserve">Table C3 Consolidated Monthly Budget Statement - Financial Performance (revenue and expenditure by municipal vote) </v>
      </c>
      <c r="F78" s="1" t="str">
        <f>D78&amp;"Monthly Budget Statement - Financial Performance (revenue and expenditure by municipal vote)"</f>
        <v>Table C3 Monthly Budget Statement - Financial Performance (revenue and expenditure by municipal vote)</v>
      </c>
    </row>
    <row r="79" spans="1:6" x14ac:dyDescent="0.2">
      <c r="A79" s="10" t="s">
        <v>687</v>
      </c>
      <c r="B79" s="1" t="str">
        <f>IF(Consolques="YES",E79,F79)</f>
        <v>Table C2 Monthly Budget Statement - Financial Performance (functional classification)</v>
      </c>
      <c r="D79" s="12" t="s">
        <v>89</v>
      </c>
      <c r="E79" s="1" t="str">
        <f>D79&amp;"Consolidated Monthly Budget Statement - Financial Performance (functional classification) "</f>
        <v xml:space="preserve">Table C2 Consolidated Monthly Budget Statement - Financial Performance (functional classification) </v>
      </c>
      <c r="F79" s="1" t="str">
        <f>D79&amp;"Monthly Budget Statement - Financial Performance (functional classification)"</f>
        <v>Table C2 Monthly Budget Statement - Financial Performance (functional classification)</v>
      </c>
    </row>
    <row r="80" spans="1:6" x14ac:dyDescent="0.2">
      <c r="A80" s="10" t="s">
        <v>688</v>
      </c>
      <c r="B80" s="1" t="str">
        <f>IF(Consolques="YES",E80,F80)</f>
        <v>Table C4 Monthly Budget Statement - Financial Performance (revenue and expenditure)</v>
      </c>
      <c r="D80" s="12" t="s">
        <v>91</v>
      </c>
      <c r="E80" s="1" t="str">
        <f>D80&amp;"Consolidated Monthly Budget Statement - Financial Performance (revenue and expenditure) "</f>
        <v xml:space="preserve">Table C4 Consolidated Monthly Budget Statement - Financial Performance (revenue and expenditure) </v>
      </c>
      <c r="F80" s="1" t="str">
        <f>D80&amp;"Monthly Budget Statement - Financial Performance (revenue and expenditure)"</f>
        <v>Table C4 Monthly Budget Statement - Financial Performance (revenue and expenditure)</v>
      </c>
    </row>
    <row r="81" spans="1:6" x14ac:dyDescent="0.2">
      <c r="A81" s="10" t="s">
        <v>588</v>
      </c>
      <c r="B81" s="1" t="str">
        <f>IF(Consolques="YES",E81,F81)</f>
        <v>Table C5 Monthly Budget Statement - Capital Expenditure (municipal vote, functional classification and funding)</v>
      </c>
      <c r="D81" s="12" t="s">
        <v>92</v>
      </c>
      <c r="E81" s="1" t="str">
        <f>D81&amp;"Consolidated Monthly Budget Statement - Capital Expenditure (municipal vote, functional classification and funding "</f>
        <v xml:space="preserve">Table C5 Consolidated Monthly Budget Statement - Capital Expenditure (municipal vote, functional classification and funding </v>
      </c>
      <c r="F81" s="1" t="str">
        <f>D81&amp;"Monthly Budget Statement - Capital Expenditure (municipal vote, functional classification and funding)"</f>
        <v>Table C5 Monthly Budget Statement - Capital Expenditure (municipal vote, functional classification and funding)</v>
      </c>
    </row>
    <row r="82" spans="1:6" x14ac:dyDescent="0.2">
      <c r="A82" s="10" t="s">
        <v>689</v>
      </c>
      <c r="B82" s="1" t="str">
        <f t="shared" si="0"/>
        <v>Table C6 Monthly Budget Statement - Financial Position</v>
      </c>
      <c r="D82" s="12" t="s">
        <v>93</v>
      </c>
      <c r="E82" s="1" t="str">
        <f>D82&amp;"Consolidated Monthly Budget Statement - Financial Position "</f>
        <v xml:space="preserve">Table C6 Consolidated Monthly Budget Statement - Financial Position </v>
      </c>
      <c r="F82" s="1" t="str">
        <f>D82&amp;"Monthly Budget Statement - Financial Position"</f>
        <v>Table C6 Monthly Budget Statement - Financial Position</v>
      </c>
    </row>
    <row r="83" spans="1:6" x14ac:dyDescent="0.2">
      <c r="A83" s="10" t="s">
        <v>690</v>
      </c>
      <c r="B83" s="1" t="str">
        <f t="shared" si="0"/>
        <v xml:space="preserve">Table C7 Monthly Budget Statement - Cash Flow </v>
      </c>
      <c r="D83" s="12" t="s">
        <v>94</v>
      </c>
      <c r="E83" s="1" t="str">
        <f>D83&amp;"Consolidated Monthly Budget Statement - Cash Flow "</f>
        <v xml:space="preserve">Table C7 Consolidated Monthly Budget Statement - Cash Flow </v>
      </c>
      <c r="F83" s="1" t="str">
        <f>D83&amp;"Monthly Budget Statement - Cash Flow "</f>
        <v xml:space="preserve">Table C7 Monthly Budget Statement - Cash Flow </v>
      </c>
    </row>
    <row r="84" spans="1:6" x14ac:dyDescent="0.2">
      <c r="A84" s="10" t="s">
        <v>589</v>
      </c>
      <c r="B84" s="1" t="str">
        <f>D84&amp;"Material variance explanations "</f>
        <v xml:space="preserve">Supporting Table SC1 Material variance explanations </v>
      </c>
      <c r="D84" s="12" t="s">
        <v>100</v>
      </c>
    </row>
    <row r="85" spans="1:6" x14ac:dyDescent="0.2">
      <c r="A85" s="10" t="s">
        <v>691</v>
      </c>
      <c r="B85" s="1" t="str">
        <f>D85&amp;"Monthly Budget Statement - performance indicators  "</f>
        <v xml:space="preserve">Supporting Table SC2 Monthly Budget Statement - performance indicators  </v>
      </c>
      <c r="D85" s="12" t="s">
        <v>101</v>
      </c>
    </row>
    <row r="86" spans="1:6" x14ac:dyDescent="0.2">
      <c r="A86" s="10" t="s">
        <v>692</v>
      </c>
      <c r="B86" s="1" t="str">
        <f>D86&amp;"Monthly Budget Statement - aged debtors"</f>
        <v>Supporting Table SC3 Monthly Budget Statement - aged debtors</v>
      </c>
      <c r="D86" s="12" t="s">
        <v>102</v>
      </c>
    </row>
    <row r="87" spans="1:6" x14ac:dyDescent="0.2">
      <c r="A87" s="10" t="s">
        <v>693</v>
      </c>
      <c r="B87" s="1" t="str">
        <f>D87&amp;"Monthly Budget Statement - aged creditors "</f>
        <v xml:space="preserve">Supporting Table SC4 Monthly Budget Statement - aged creditors </v>
      </c>
      <c r="D87" s="12" t="s">
        <v>103</v>
      </c>
    </row>
    <row r="88" spans="1:6" x14ac:dyDescent="0.2">
      <c r="A88" s="10" t="s">
        <v>10</v>
      </c>
      <c r="B88" s="1" t="str">
        <f>D88&amp;"Monthly Budget Statement - investment portfolio "</f>
        <v xml:space="preserve">Supporting Table SC5 Monthly Budget Statement - investment portfolio </v>
      </c>
      <c r="D88" s="12" t="s">
        <v>104</v>
      </c>
    </row>
    <row r="89" spans="1:6" x14ac:dyDescent="0.2">
      <c r="A89" s="10" t="s">
        <v>758</v>
      </c>
      <c r="B89" s="1" t="str">
        <f>D89&amp;"Monthly Budget Statement - transfers and grant receipts "</f>
        <v xml:space="preserve">Supporting Table SC6 Monthly Budget Statement - transfers and grant receipts </v>
      </c>
      <c r="D89" s="12" t="s">
        <v>105</v>
      </c>
    </row>
    <row r="90" spans="1:6" x14ac:dyDescent="0.2">
      <c r="A90" s="10" t="s">
        <v>944</v>
      </c>
      <c r="B90" s="1" t="str">
        <f>D90&amp;" Monthly Budget Statement - transfers and grant expenditure "</f>
        <v xml:space="preserve">Supporting Table SC7(1) Monthly Budget Statement - transfers and grant expenditure </v>
      </c>
      <c r="D90" s="12" t="s">
        <v>1109</v>
      </c>
    </row>
    <row r="91" spans="1:6" x14ac:dyDescent="0.2">
      <c r="A91" s="10" t="s">
        <v>945</v>
      </c>
      <c r="B91" s="1" t="str">
        <f>D91&amp;"Monthly Budget Statement - councillor and staff benefits "</f>
        <v xml:space="preserve">Supporting Table SC8 Monthly Budget Statement - councillor and staff benefits </v>
      </c>
      <c r="D91" s="12" t="s">
        <v>106</v>
      </c>
    </row>
    <row r="92" spans="1:6" x14ac:dyDescent="0.2">
      <c r="A92" s="10" t="s">
        <v>784</v>
      </c>
      <c r="B92" s="1" t="str">
        <f>D92&amp;"Monthly Budget Statement - actuals and revised targets for cash receipts"</f>
        <v>Supporting Table SC9 Monthly Budget Statement - actuals and revised targets for cash receipts</v>
      </c>
      <c r="D92" s="12" t="s">
        <v>107</v>
      </c>
    </row>
    <row r="93" spans="1:6" x14ac:dyDescent="0.2">
      <c r="A93" s="10" t="s">
        <v>785</v>
      </c>
      <c r="B93" s="1" t="str">
        <f t="shared" ref="B93:B99" si="1">IF(Consolques="YES",E93,F93)</f>
        <v>NOT REQUIRED - municipality does not have entities or this is the parent municipality's budget</v>
      </c>
      <c r="D93" s="12" t="s">
        <v>108</v>
      </c>
      <c r="E93" s="1" t="str">
        <f>D93&amp;"Monthly Budget Statement  - Parent Municipality Financial Performance (revenue and expenditure) "</f>
        <v xml:space="preserve">Supporting Table SC10 Monthly Budget Statement  - Parent Municipality Financial Performance (revenue and expenditure) </v>
      </c>
      <c r="F93" s="1" t="s">
        <v>806</v>
      </c>
    </row>
    <row r="94" spans="1:6" x14ac:dyDescent="0.2">
      <c r="A94" s="10" t="s">
        <v>786</v>
      </c>
      <c r="B94" s="1" t="str">
        <f t="shared" si="1"/>
        <v>NOT REQUIRED - municipality does not have entities or this is the parent municipality's budget</v>
      </c>
      <c r="D94" s="12" t="s">
        <v>109</v>
      </c>
      <c r="E94" s="1" t="str">
        <f>D94&amp;"Monthly Budget Statement - summary of municipal entities"</f>
        <v>Supporting Table SC11 Monthly Budget Statement - summary of municipal entities</v>
      </c>
      <c r="F94" s="1" t="s">
        <v>806</v>
      </c>
    </row>
    <row r="95" spans="1:6" x14ac:dyDescent="0.2">
      <c r="A95" s="10" t="s">
        <v>11</v>
      </c>
      <c r="B95" s="1" t="str">
        <f t="shared" si="1"/>
        <v>Supporting Table SC12 Monthly Budget Statement - capital expenditure trend</v>
      </c>
      <c r="D95" s="12" t="s">
        <v>110</v>
      </c>
      <c r="E95" s="1" t="str">
        <f>D95&amp;"Consolidated Monthly Budget Statement - capital expenditure trend "</f>
        <v xml:space="preserve">Supporting Table SC12 Consolidated Monthly Budget Statement - capital expenditure trend </v>
      </c>
      <c r="F95" s="1" t="str">
        <f>D95&amp;"Monthly Budget Statement - capital expenditure trend"</f>
        <v>Supporting Table SC12 Monthly Budget Statement - capital expenditure trend</v>
      </c>
    </row>
    <row r="96" spans="1:6" x14ac:dyDescent="0.2">
      <c r="A96" s="10" t="s">
        <v>160</v>
      </c>
      <c r="B96" s="1" t="str">
        <f t="shared" si="1"/>
        <v>Supporting Table SC13a Monthly Budget Statement - capital expenditure on new assets by asset class</v>
      </c>
      <c r="D96" s="12" t="s">
        <v>157</v>
      </c>
      <c r="E96" s="1" t="str">
        <f>D96&amp;"Consolidated Monthly Budget Statement - capital expenditure on new assets by asset class"</f>
        <v>Supporting Table SC13a Consolidated Monthly Budget Statement - capital expenditure on new assets by asset class</v>
      </c>
      <c r="F96" s="1" t="str">
        <f>D96&amp;"Monthly Budget Statement - capital expenditure on new assets by asset class"</f>
        <v>Supporting Table SC13a Monthly Budget Statement - capital expenditure on new assets by asset class</v>
      </c>
    </row>
    <row r="97" spans="1:6" x14ac:dyDescent="0.2">
      <c r="A97" s="10" t="s">
        <v>161</v>
      </c>
      <c r="B97" s="1" t="str">
        <f t="shared" si="1"/>
        <v>Supporting Table SC13b Monthly Budget Statement - capital expenditure on renewal of existing assets by asset class</v>
      </c>
      <c r="D97" s="12" t="s">
        <v>158</v>
      </c>
      <c r="E97" s="1" t="str">
        <f>D97&amp;"Consolidated Monthly Budget Statement - capital expenditure on renewal of existing assets by asset class"</f>
        <v>Supporting Table SC13b Consolidated Monthly Budget Statement - capital expenditure on renewal of existing assets by asset class</v>
      </c>
      <c r="F97" s="1" t="str">
        <f>D97&amp;"Monthly Budget Statement - capital expenditure on renewal of existing assets by asset class"</f>
        <v>Supporting Table SC13b Monthly Budget Statement - capital expenditure on renewal of existing assets by asset class</v>
      </c>
    </row>
    <row r="98" spans="1:6" x14ac:dyDescent="0.2">
      <c r="A98" s="10" t="s">
        <v>162</v>
      </c>
      <c r="B98" s="1" t="str">
        <f t="shared" si="1"/>
        <v>Supporting Table SC13c Monthly Budget Statement - expenditure on repairs and maintenance by asset class</v>
      </c>
      <c r="D98" s="12" t="s">
        <v>159</v>
      </c>
      <c r="E98" s="1" t="str">
        <f>D98&amp;"Consolidated Monthly Budget Statement - expenditure on repairs and maintenance by asset class"</f>
        <v>Supporting Table SC13c Consolidated Monthly Budget Statement - expenditure on repairs and maintenance by asset class</v>
      </c>
      <c r="F98" s="1" t="str">
        <f>D98&amp;"Monthly Budget Statement - expenditure on repairs and maintenance by asset class"</f>
        <v>Supporting Table SC13c Monthly Budget Statement - expenditure on repairs and maintenance by asset class</v>
      </c>
    </row>
    <row r="99" spans="1:6" x14ac:dyDescent="0.2">
      <c r="A99" s="10" t="s">
        <v>1061</v>
      </c>
      <c r="B99" s="1" t="str">
        <f t="shared" si="1"/>
        <v>Supporting Table SC13d Monthly Budget Statement - depreciation by asset class</v>
      </c>
      <c r="D99" s="12" t="s">
        <v>1062</v>
      </c>
      <c r="E99" s="1" t="str">
        <f>D99&amp;"Consolidated Monthly Budget Statement - depreciation by asset class"</f>
        <v>Supporting Table SC13d Consolidated Monthly Budget Statement - depreciation by asset class</v>
      </c>
      <c r="F99" s="1" t="str">
        <f>D99&amp;"Monthly Budget Statement - depreciation by asset class"</f>
        <v>Supporting Table SC13d Monthly Budget Statement - depreciation by asset class</v>
      </c>
    </row>
    <row r="100" spans="1:6" x14ac:dyDescent="0.2">
      <c r="A100" s="10" t="s">
        <v>1363</v>
      </c>
      <c r="B100" s="1" t="str">
        <f>IF(Consolques="YES",E100,F100)</f>
        <v>Supporting Table SC13e Monthly Budget Statement - capital expenditure on upgrading of existing assets by asset class</v>
      </c>
      <c r="D100" s="12" t="s">
        <v>1364</v>
      </c>
      <c r="E100" s="1" t="str">
        <f>D100&amp;"Consolidated Monthly Budget Statement - capital expenditure on upgrading of existing assets by asset class"</f>
        <v>Supporting Table SC13e Consolidated Monthly Budget Statement - capital expenditure on upgrading of existing assets by asset class</v>
      </c>
      <c r="F100" s="1" t="str">
        <f>D100&amp;"Monthly Budget Statement - capital expenditure on upgrading of existing assets by asset class"</f>
        <v>Supporting Table SC13e Monthly Budget Statement - capital expenditure on upgrading of existing assets by asset class</v>
      </c>
    </row>
    <row r="101" spans="1:6" x14ac:dyDescent="0.2">
      <c r="A101" s="10"/>
      <c r="B101" s="4" t="s">
        <v>694</v>
      </c>
      <c r="C101" s="4"/>
      <c r="D101" s="12"/>
    </row>
    <row r="102" spans="1:6" x14ac:dyDescent="0.2">
      <c r="A102" s="10"/>
      <c r="B102" s="1" t="str">
        <f>D102&amp;Head2A&amp;" Capital Expenditure Monthly Trend: actual v target"</f>
        <v>Chart C1 2018/19 Capital Expenditure Monthly Trend: actual v target</v>
      </c>
      <c r="D102" s="12" t="s">
        <v>95</v>
      </c>
    </row>
    <row r="103" spans="1:6" x14ac:dyDescent="0.2">
      <c r="A103" s="10"/>
      <c r="B103" s="1" t="str">
        <f>D103&amp;Head2A&amp;" Capital Expenditure: YTD actual v YTD target"</f>
        <v>Chart C2 2018/19 Capital Expenditure: YTD actual v YTD target</v>
      </c>
      <c r="D103" s="12" t="s">
        <v>96</v>
      </c>
    </row>
    <row r="104" spans="1:6" x14ac:dyDescent="0.2">
      <c r="A104" s="10"/>
      <c r="B104" s="1" t="str">
        <f>D104&amp;"Aged Consumer Debtors Analysis"</f>
        <v>Chart C3 Aged Consumer Debtors Analysis</v>
      </c>
      <c r="D104" s="12" t="s">
        <v>97</v>
      </c>
    </row>
    <row r="105" spans="1:6" x14ac:dyDescent="0.2">
      <c r="A105" s="10"/>
      <c r="B105" s="1" t="str">
        <f>D105&amp;"Consumer Debtors (total by Debtor Customer Category)"</f>
        <v>Chart C4 Consumer Debtors (total by Debtor Customer Category)</v>
      </c>
      <c r="D105" s="12" t="s">
        <v>98</v>
      </c>
    </row>
    <row r="106" spans="1:6" x14ac:dyDescent="0.2">
      <c r="A106" s="11"/>
      <c r="B106" s="8" t="str">
        <f>D106&amp;"Aged Creditors Analysis"</f>
        <v>Chart C5 Aged Creditors Analysis</v>
      </c>
      <c r="C106" s="8"/>
      <c r="D106" s="13" t="s">
        <v>99</v>
      </c>
    </row>
    <row r="107" spans="1:6" x14ac:dyDescent="0.2">
      <c r="A107" s="10" t="s">
        <v>1108</v>
      </c>
      <c r="B107" s="1" t="str">
        <f>D107&amp;" Monthly Budget Statement - Expenditure against approved rollovers"</f>
        <v>Supporting Table SC7(2) Monthly Budget Statement - Expenditure against approved rollovers</v>
      </c>
      <c r="D107" s="12" t="s">
        <v>1110</v>
      </c>
    </row>
    <row r="108" spans="1:6" x14ac:dyDescent="0.2">
      <c r="A108" s="1"/>
    </row>
    <row r="109" spans="1:6" x14ac:dyDescent="0.2">
      <c r="A109" s="1"/>
    </row>
    <row r="110" spans="1:6" x14ac:dyDescent="0.2">
      <c r="D110" s="3"/>
    </row>
  </sheetData>
  <sheetProtection formatCells="0" selectLockedCells="1"/>
  <mergeCells count="3">
    <mergeCell ref="A1:D1"/>
    <mergeCell ref="A76:B76"/>
    <mergeCell ref="A72:D72"/>
  </mergeCells>
  <phoneticPr fontId="3" type="noConversion"/>
  <printOptions horizontalCentered="1" verticalCentered="1"/>
  <pageMargins left="0.39370078740157483" right="0.15748031496062992" top="0.51181102362204722" bottom="0.55118110236220474" header="0.51181102362204722" footer="0.39370078740157483"/>
  <pageSetup paperSize="9" scale="2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8" r:id="rId4" name="Button 12">
              <controlPr defaultSize="0" print="0" autoFill="0" autoPict="0" macro="[0]!SaveForUsers">
                <anchor moveWithCells="1" sizeWithCells="1">
                  <from>
                    <xdr:col>4</xdr:col>
                    <xdr:colOff>171450</xdr:colOff>
                    <xdr:row>2</xdr:row>
                    <xdr:rowOff>104775</xdr:rowOff>
                  </from>
                  <to>
                    <xdr:col>4</xdr:col>
                    <xdr:colOff>1924050</xdr:colOff>
                    <xdr:row>4</xdr:row>
                    <xdr:rowOff>104775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79">
    <tabColor indexed="42"/>
    <pageSetUpPr fitToPage="1"/>
  </sheetPr>
  <dimension ref="A1:L171"/>
  <sheetViews>
    <sheetView showGridLines="0" view="pageBreakPreview" zoomScaleNormal="100" zoomScaleSheetLayoutView="100" workbookViewId="0">
      <pane ySplit="4" topLeftCell="A146" activePane="bottomLeft" state="frozen"/>
      <selection pane="bottomLeft" activeCell="G169" sqref="G169"/>
    </sheetView>
  </sheetViews>
  <sheetFormatPr defaultColWidth="9.140625" defaultRowHeight="12.75" x14ac:dyDescent="0.25"/>
  <cols>
    <col min="1" max="1" width="34.140625" style="22" bestFit="1" customWidth="1"/>
    <col min="2" max="2" width="3.140625" style="54" customWidth="1"/>
    <col min="3" max="8" width="8.7109375" style="22" customWidth="1"/>
    <col min="9" max="10" width="6.7109375" style="22" customWidth="1"/>
    <col min="11" max="11" width="8.7109375" style="22" customWidth="1"/>
    <col min="12" max="12" width="9.85546875" style="22" hidden="1" customWidth="1"/>
    <col min="13" max="13" width="9.5703125" style="22" customWidth="1"/>
    <col min="14" max="14" width="9.85546875" style="22" customWidth="1"/>
    <col min="15" max="17" width="9.5703125" style="22" customWidth="1"/>
    <col min="18" max="18" width="9.85546875" style="22" customWidth="1"/>
    <col min="19" max="21" width="9.5703125" style="22" customWidth="1"/>
    <col min="22" max="23" width="9.85546875" style="22" customWidth="1"/>
    <col min="24" max="16384" width="9.140625" style="22"/>
  </cols>
  <sheetData>
    <row r="1" spans="1:12" ht="13.5" x14ac:dyDescent="0.25">
      <c r="A1" s="982" t="str">
        <f>muni&amp; " - "&amp;S71Sa&amp; " - "&amp;Head57</f>
        <v>WC025 Breede Valley - Supporting Table SC13a Monthly Budget Statement - capital expenditure on new assets by asset class - Q4 Fourth Quarter</v>
      </c>
      <c r="B1" s="983"/>
      <c r="C1" s="983"/>
      <c r="D1" s="983"/>
      <c r="E1" s="983"/>
      <c r="F1" s="983"/>
      <c r="G1" s="983"/>
      <c r="H1" s="983"/>
      <c r="I1" s="983"/>
      <c r="J1" s="983"/>
      <c r="K1" s="984"/>
      <c r="L1" s="22">
        <v>12</v>
      </c>
    </row>
    <row r="2" spans="1:12" x14ac:dyDescent="0.25">
      <c r="A2" s="1038" t="str">
        <f>desc</f>
        <v>Description</v>
      </c>
      <c r="B2" s="1040" t="str">
        <f>head27</f>
        <v>Ref</v>
      </c>
      <c r="C2" s="815" t="str">
        <f>Head1</f>
        <v>2017/18</v>
      </c>
      <c r="D2" s="816" t="str">
        <f>Head2</f>
        <v>Budget Year 2018/19</v>
      </c>
      <c r="E2" s="817"/>
      <c r="F2" s="817"/>
      <c r="G2" s="817"/>
      <c r="H2" s="817"/>
      <c r="I2" s="817"/>
      <c r="J2" s="817"/>
      <c r="K2" s="818"/>
    </row>
    <row r="3" spans="1:12" ht="25.5" x14ac:dyDescent="0.25">
      <c r="A3" s="1039"/>
      <c r="B3" s="1041"/>
      <c r="C3" s="819" t="str">
        <f>Head5</f>
        <v>Audited Outcome</v>
      </c>
      <c r="D3" s="820" t="str">
        <f>Head6</f>
        <v>Original Budget</v>
      </c>
      <c r="E3" s="821" t="str">
        <f>Head7</f>
        <v>Adjusted Budget</v>
      </c>
      <c r="F3" s="821" t="str">
        <f>Head38</f>
        <v>Monthly actual</v>
      </c>
      <c r="G3" s="821" t="str">
        <f>Head39</f>
        <v>YearTD actual</v>
      </c>
      <c r="H3" s="821" t="str">
        <f>Head40</f>
        <v>YearTD budget</v>
      </c>
      <c r="I3" s="821" t="str">
        <f>Head41</f>
        <v>YTD variance</v>
      </c>
      <c r="J3" s="822" t="str">
        <f>Head41</f>
        <v>YTD variance</v>
      </c>
      <c r="K3" s="823" t="str">
        <f>Head8</f>
        <v>Full Year Forecast</v>
      </c>
    </row>
    <row r="4" spans="1:12" x14ac:dyDescent="0.25">
      <c r="A4" s="824" t="s">
        <v>678</v>
      </c>
      <c r="B4" s="211">
        <v>1</v>
      </c>
      <c r="C4" s="211"/>
      <c r="D4" s="253"/>
      <c r="E4" s="249"/>
      <c r="F4" s="825"/>
      <c r="G4" s="825"/>
      <c r="H4" s="825"/>
      <c r="I4" s="825"/>
      <c r="J4" s="300" t="s">
        <v>586</v>
      </c>
      <c r="K4" s="408"/>
    </row>
    <row r="5" spans="1:12" ht="12.75" customHeight="1" x14ac:dyDescent="0.25">
      <c r="A5" s="149" t="s">
        <v>889</v>
      </c>
      <c r="B5" s="142"/>
      <c r="C5" s="111"/>
      <c r="D5" s="221"/>
      <c r="E5" s="41"/>
      <c r="F5" s="41"/>
      <c r="G5" s="41"/>
      <c r="H5" s="41"/>
      <c r="I5" s="41"/>
      <c r="J5" s="826"/>
      <c r="K5" s="119"/>
    </row>
    <row r="6" spans="1:12" ht="5.0999999999999996" customHeight="1" x14ac:dyDescent="0.25">
      <c r="A6" s="32"/>
      <c r="B6" s="142"/>
      <c r="C6" s="111"/>
      <c r="D6" s="221"/>
      <c r="E6" s="41"/>
      <c r="F6" s="41"/>
      <c r="G6" s="41"/>
      <c r="H6" s="41"/>
      <c r="I6" s="41"/>
      <c r="J6" s="826"/>
      <c r="K6" s="119"/>
    </row>
    <row r="7" spans="1:12" ht="12.75" customHeight="1" x14ac:dyDescent="0.25">
      <c r="A7" s="32" t="s">
        <v>654</v>
      </c>
      <c r="B7" s="142"/>
      <c r="C7" s="91">
        <f t="shared" ref="C7:H7" si="0">C8+C13+C17+C27+C38+C45+C53+C63+C69</f>
        <v>142896496.53999996</v>
      </c>
      <c r="D7" s="47">
        <f t="shared" si="0"/>
        <v>137452972</v>
      </c>
      <c r="E7" s="46">
        <f t="shared" si="0"/>
        <v>163086653.22</v>
      </c>
      <c r="F7" s="46">
        <f t="shared" si="0"/>
        <v>12129744.460000005</v>
      </c>
      <c r="G7" s="46">
        <f t="shared" si="0"/>
        <v>144312148.56999999</v>
      </c>
      <c r="H7" s="46">
        <f t="shared" si="0"/>
        <v>163086653.22</v>
      </c>
      <c r="I7" s="85">
        <f t="shared" ref="I7:I37" si="1">H7-G7</f>
        <v>18774504.650000006</v>
      </c>
      <c r="J7" s="827">
        <f t="shared" ref="J7:J37" si="2">IF(I7=0,"",I7/H7)</f>
        <v>0.11511981072217876</v>
      </c>
      <c r="K7" s="159">
        <f>K8+K13+K17+K27+K38+K45+K53+K63+K69</f>
        <v>163086653.22</v>
      </c>
    </row>
    <row r="8" spans="1:12" ht="12.75" customHeight="1" x14ac:dyDescent="0.25">
      <c r="A8" s="828" t="s">
        <v>1250</v>
      </c>
      <c r="B8" s="142"/>
      <c r="C8" s="449">
        <f t="shared" ref="C8:H8" si="3">SUM(C9:C12)</f>
        <v>34996196.350000001</v>
      </c>
      <c r="D8" s="450">
        <f t="shared" si="3"/>
        <v>19320000</v>
      </c>
      <c r="E8" s="404">
        <f t="shared" si="3"/>
        <v>19020000</v>
      </c>
      <c r="F8" s="404">
        <f t="shared" si="3"/>
        <v>70801.16</v>
      </c>
      <c r="G8" s="404">
        <f t="shared" si="3"/>
        <v>17837773.5</v>
      </c>
      <c r="H8" s="404">
        <f t="shared" si="3"/>
        <v>19020000</v>
      </c>
      <c r="I8" s="221">
        <f t="shared" si="1"/>
        <v>1182226.5</v>
      </c>
      <c r="J8" s="829">
        <f t="shared" si="2"/>
        <v>6.2157018927444796E-2</v>
      </c>
      <c r="K8" s="451">
        <f>SUM(K9:K12)</f>
        <v>19020000</v>
      </c>
    </row>
    <row r="9" spans="1:12" ht="12.75" customHeight="1" x14ac:dyDescent="0.25">
      <c r="A9" s="694" t="s">
        <v>172</v>
      </c>
      <c r="B9" s="142"/>
      <c r="C9" s="526">
        <v>34996196.350000001</v>
      </c>
      <c r="D9" s="328">
        <v>19320000</v>
      </c>
      <c r="E9" s="329">
        <v>19020000</v>
      </c>
      <c r="F9" s="329">
        <v>70801.16</v>
      </c>
      <c r="G9" s="329">
        <v>17837773.5</v>
      </c>
      <c r="H9" s="329">
        <f>E9/12*$L$1</f>
        <v>19020000</v>
      </c>
      <c r="I9" s="221">
        <f t="shared" si="1"/>
        <v>1182226.5</v>
      </c>
      <c r="J9" s="829">
        <f t="shared" si="2"/>
        <v>6.2157018927444796E-2</v>
      </c>
      <c r="K9" s="517">
        <f>E9</f>
        <v>19020000</v>
      </c>
      <c r="L9" s="40"/>
    </row>
    <row r="10" spans="1:12" ht="12.75" customHeight="1" x14ac:dyDescent="0.25">
      <c r="A10" s="694" t="s">
        <v>1251</v>
      </c>
      <c r="B10" s="142"/>
      <c r="C10" s="526">
        <v>0</v>
      </c>
      <c r="D10" s="328">
        <v>0</v>
      </c>
      <c r="E10" s="329">
        <v>0</v>
      </c>
      <c r="F10" s="329">
        <v>0</v>
      </c>
      <c r="G10" s="329">
        <v>0</v>
      </c>
      <c r="H10" s="329">
        <f t="shared" ref="H10:H12" si="4">E10/12*$L$1</f>
        <v>0</v>
      </c>
      <c r="I10" s="221">
        <f t="shared" si="1"/>
        <v>0</v>
      </c>
      <c r="J10" s="829" t="str">
        <f t="shared" si="2"/>
        <v/>
      </c>
      <c r="K10" s="517">
        <f>E10</f>
        <v>0</v>
      </c>
    </row>
    <row r="11" spans="1:12" ht="12.75" customHeight="1" x14ac:dyDescent="0.25">
      <c r="A11" s="694" t="s">
        <v>1252</v>
      </c>
      <c r="B11" s="142"/>
      <c r="C11" s="526">
        <v>0</v>
      </c>
      <c r="D11" s="328">
        <v>0</v>
      </c>
      <c r="E11" s="329">
        <v>0</v>
      </c>
      <c r="F11" s="329">
        <v>0</v>
      </c>
      <c r="G11" s="329">
        <v>0</v>
      </c>
      <c r="H11" s="329">
        <f t="shared" si="4"/>
        <v>0</v>
      </c>
      <c r="I11" s="221">
        <f t="shared" si="1"/>
        <v>0</v>
      </c>
      <c r="J11" s="829" t="str">
        <f t="shared" si="2"/>
        <v/>
      </c>
      <c r="K11" s="517">
        <f>E11</f>
        <v>0</v>
      </c>
    </row>
    <row r="12" spans="1:12" ht="12.75" customHeight="1" x14ac:dyDescent="0.25">
      <c r="A12" s="694" t="s">
        <v>1253</v>
      </c>
      <c r="B12" s="142"/>
      <c r="C12" s="526">
        <v>0</v>
      </c>
      <c r="D12" s="328">
        <v>0</v>
      </c>
      <c r="E12" s="329">
        <v>0</v>
      </c>
      <c r="F12" s="329">
        <v>0</v>
      </c>
      <c r="G12" s="329">
        <v>0</v>
      </c>
      <c r="H12" s="329">
        <f t="shared" si="4"/>
        <v>0</v>
      </c>
      <c r="I12" s="221">
        <f t="shared" si="1"/>
        <v>0</v>
      </c>
      <c r="J12" s="829" t="str">
        <f t="shared" si="2"/>
        <v/>
      </c>
      <c r="K12" s="517">
        <f>E12</f>
        <v>0</v>
      </c>
    </row>
    <row r="13" spans="1:12" ht="12.75" customHeight="1" x14ac:dyDescent="0.25">
      <c r="A13" s="828" t="s">
        <v>1254</v>
      </c>
      <c r="B13" s="142"/>
      <c r="C13" s="111">
        <f t="shared" ref="C13:H13" si="5">SUM(C14:C16)</f>
        <v>19479033.700000003</v>
      </c>
      <c r="D13" s="43">
        <f t="shared" si="5"/>
        <v>18820000</v>
      </c>
      <c r="E13" s="41">
        <f t="shared" si="5"/>
        <v>18820000</v>
      </c>
      <c r="F13" s="41">
        <f t="shared" si="5"/>
        <v>69300</v>
      </c>
      <c r="G13" s="41">
        <f t="shared" si="5"/>
        <v>17736646.5</v>
      </c>
      <c r="H13" s="41">
        <f t="shared" si="5"/>
        <v>18820000</v>
      </c>
      <c r="I13" s="221">
        <f t="shared" si="1"/>
        <v>1083353.5</v>
      </c>
      <c r="J13" s="829">
        <f t="shared" si="2"/>
        <v>5.7563947927736447E-2</v>
      </c>
      <c r="K13" s="119">
        <f>SUM(K14:K16)</f>
        <v>18820000</v>
      </c>
    </row>
    <row r="14" spans="1:12" ht="12.75" customHeight="1" x14ac:dyDescent="0.25">
      <c r="A14" s="694" t="s">
        <v>1255</v>
      </c>
      <c r="B14" s="142"/>
      <c r="C14" s="526">
        <v>0</v>
      </c>
      <c r="D14" s="328">
        <v>975000</v>
      </c>
      <c r="E14" s="329">
        <v>975000</v>
      </c>
      <c r="F14" s="329">
        <v>0</v>
      </c>
      <c r="G14" s="329">
        <v>0</v>
      </c>
      <c r="H14" s="329">
        <f t="shared" ref="H14:H16" si="6">E14/12*$L$1</f>
        <v>975000</v>
      </c>
      <c r="I14" s="221">
        <f t="shared" si="1"/>
        <v>975000</v>
      </c>
      <c r="J14" s="829">
        <f t="shared" si="2"/>
        <v>1</v>
      </c>
      <c r="K14" s="517">
        <f>E14</f>
        <v>975000</v>
      </c>
    </row>
    <row r="15" spans="1:12" ht="12.75" customHeight="1" x14ac:dyDescent="0.25">
      <c r="A15" s="694" t="s">
        <v>1256</v>
      </c>
      <c r="B15" s="142"/>
      <c r="C15" s="526">
        <v>19479033.700000003</v>
      </c>
      <c r="D15" s="328">
        <v>17845000</v>
      </c>
      <c r="E15" s="329">
        <v>17845000</v>
      </c>
      <c r="F15" s="329">
        <v>69300</v>
      </c>
      <c r="G15" s="329">
        <v>17736646.5</v>
      </c>
      <c r="H15" s="329">
        <f t="shared" si="6"/>
        <v>17845000</v>
      </c>
      <c r="I15" s="221">
        <f t="shared" si="1"/>
        <v>108353.5</v>
      </c>
      <c r="J15" s="829">
        <f t="shared" si="2"/>
        <v>6.0719249089380778E-3</v>
      </c>
      <c r="K15" s="517">
        <f>E15</f>
        <v>17845000</v>
      </c>
    </row>
    <row r="16" spans="1:12" ht="12.75" customHeight="1" x14ac:dyDescent="0.25">
      <c r="A16" s="694" t="s">
        <v>1257</v>
      </c>
      <c r="B16" s="142"/>
      <c r="C16" s="526">
        <v>0</v>
      </c>
      <c r="D16" s="328">
        <v>0</v>
      </c>
      <c r="E16" s="329">
        <v>0</v>
      </c>
      <c r="F16" s="329">
        <v>0</v>
      </c>
      <c r="G16" s="329">
        <v>0</v>
      </c>
      <c r="H16" s="329">
        <f t="shared" si="6"/>
        <v>0</v>
      </c>
      <c r="I16" s="221">
        <f t="shared" si="1"/>
        <v>0</v>
      </c>
      <c r="J16" s="829" t="str">
        <f t="shared" si="2"/>
        <v/>
      </c>
      <c r="K16" s="517">
        <f>E16</f>
        <v>0</v>
      </c>
    </row>
    <row r="17" spans="1:11" ht="12.75" customHeight="1" x14ac:dyDescent="0.25">
      <c r="A17" s="828" t="s">
        <v>1258</v>
      </c>
      <c r="B17" s="142"/>
      <c r="C17" s="111">
        <f t="shared" ref="C17:H17" si="7">SUM(C18:C26)</f>
        <v>10527417.700000001</v>
      </c>
      <c r="D17" s="43">
        <f t="shared" si="7"/>
        <v>21130700</v>
      </c>
      <c r="E17" s="41">
        <f t="shared" si="7"/>
        <v>25817674</v>
      </c>
      <c r="F17" s="41">
        <f t="shared" si="7"/>
        <v>4094603.67</v>
      </c>
      <c r="G17" s="41">
        <f t="shared" si="7"/>
        <v>13713313.27</v>
      </c>
      <c r="H17" s="41">
        <f t="shared" si="7"/>
        <v>25817674</v>
      </c>
      <c r="I17" s="221">
        <f t="shared" si="1"/>
        <v>12104360.73</v>
      </c>
      <c r="J17" s="829">
        <f t="shared" si="2"/>
        <v>0.46884009496750173</v>
      </c>
      <c r="K17" s="119">
        <f>SUM(K18:K26)</f>
        <v>25817674</v>
      </c>
    </row>
    <row r="18" spans="1:11" ht="12.75" customHeight="1" x14ac:dyDescent="0.25">
      <c r="A18" s="694" t="s">
        <v>1259</v>
      </c>
      <c r="B18" s="142"/>
      <c r="C18" s="526">
        <v>0</v>
      </c>
      <c r="D18" s="328">
        <v>0</v>
      </c>
      <c r="E18" s="329">
        <v>0</v>
      </c>
      <c r="F18" s="329">
        <v>0</v>
      </c>
      <c r="G18" s="329">
        <v>0</v>
      </c>
      <c r="H18" s="329">
        <f t="shared" ref="H18:H26" si="8">E18/12*$L$1</f>
        <v>0</v>
      </c>
      <c r="I18" s="221">
        <f t="shared" si="1"/>
        <v>0</v>
      </c>
      <c r="J18" s="829" t="str">
        <f t="shared" si="2"/>
        <v/>
      </c>
      <c r="K18" s="517">
        <f t="shared" ref="K18:K26" si="9">E18</f>
        <v>0</v>
      </c>
    </row>
    <row r="19" spans="1:11" ht="12.75" customHeight="1" x14ac:dyDescent="0.25">
      <c r="A19" s="694" t="s">
        <v>1260</v>
      </c>
      <c r="B19" s="142"/>
      <c r="C19" s="526">
        <v>0</v>
      </c>
      <c r="D19" s="328">
        <v>0</v>
      </c>
      <c r="E19" s="329">
        <v>0</v>
      </c>
      <c r="F19" s="329">
        <v>0</v>
      </c>
      <c r="G19" s="329">
        <v>0</v>
      </c>
      <c r="H19" s="329">
        <f t="shared" si="8"/>
        <v>0</v>
      </c>
      <c r="I19" s="221">
        <f t="shared" si="1"/>
        <v>0</v>
      </c>
      <c r="J19" s="829" t="str">
        <f t="shared" si="2"/>
        <v/>
      </c>
      <c r="K19" s="517">
        <f t="shared" si="9"/>
        <v>0</v>
      </c>
    </row>
    <row r="20" spans="1:11" ht="12.75" customHeight="1" x14ac:dyDescent="0.25">
      <c r="A20" s="694" t="s">
        <v>1261</v>
      </c>
      <c r="B20" s="142"/>
      <c r="C20" s="526">
        <v>0</v>
      </c>
      <c r="D20" s="328">
        <v>0</v>
      </c>
      <c r="E20" s="329">
        <v>0</v>
      </c>
      <c r="F20" s="329">
        <v>0</v>
      </c>
      <c r="G20" s="329">
        <v>0</v>
      </c>
      <c r="H20" s="329">
        <f t="shared" si="8"/>
        <v>0</v>
      </c>
      <c r="I20" s="221">
        <f t="shared" si="1"/>
        <v>0</v>
      </c>
      <c r="J20" s="829" t="str">
        <f t="shared" si="2"/>
        <v/>
      </c>
      <c r="K20" s="517">
        <f t="shared" si="9"/>
        <v>0</v>
      </c>
    </row>
    <row r="21" spans="1:11" ht="12.75" customHeight="1" x14ac:dyDescent="0.25">
      <c r="A21" s="694" t="s">
        <v>1262</v>
      </c>
      <c r="B21" s="142"/>
      <c r="C21" s="526">
        <v>0</v>
      </c>
      <c r="D21" s="328">
        <v>0</v>
      </c>
      <c r="E21" s="329">
        <v>0</v>
      </c>
      <c r="F21" s="329">
        <v>0</v>
      </c>
      <c r="G21" s="329">
        <v>0</v>
      </c>
      <c r="H21" s="329">
        <f t="shared" si="8"/>
        <v>0</v>
      </c>
      <c r="I21" s="221">
        <f t="shared" si="1"/>
        <v>0</v>
      </c>
      <c r="J21" s="829" t="str">
        <f t="shared" si="2"/>
        <v/>
      </c>
      <c r="K21" s="517">
        <f t="shared" si="9"/>
        <v>0</v>
      </c>
    </row>
    <row r="22" spans="1:11" ht="12.75" customHeight="1" x14ac:dyDescent="0.25">
      <c r="A22" s="694" t="s">
        <v>1263</v>
      </c>
      <c r="B22" s="142"/>
      <c r="C22" s="526">
        <v>0</v>
      </c>
      <c r="D22" s="328">
        <v>0</v>
      </c>
      <c r="E22" s="329">
        <v>3200000</v>
      </c>
      <c r="F22" s="329">
        <v>0</v>
      </c>
      <c r="G22" s="329">
        <v>0</v>
      </c>
      <c r="H22" s="329">
        <f t="shared" si="8"/>
        <v>3200000</v>
      </c>
      <c r="I22" s="221">
        <f t="shared" si="1"/>
        <v>3200000</v>
      </c>
      <c r="J22" s="829">
        <f t="shared" si="2"/>
        <v>1</v>
      </c>
      <c r="K22" s="517">
        <f t="shared" si="9"/>
        <v>3200000</v>
      </c>
    </row>
    <row r="23" spans="1:11" ht="12.75" customHeight="1" x14ac:dyDescent="0.25">
      <c r="A23" s="694" t="s">
        <v>1264</v>
      </c>
      <c r="B23" s="142"/>
      <c r="C23" s="526">
        <v>0</v>
      </c>
      <c r="D23" s="328">
        <v>0</v>
      </c>
      <c r="E23" s="329">
        <v>0</v>
      </c>
      <c r="F23" s="329">
        <v>0</v>
      </c>
      <c r="G23" s="329">
        <v>0</v>
      </c>
      <c r="H23" s="329">
        <f t="shared" si="8"/>
        <v>0</v>
      </c>
      <c r="I23" s="221">
        <f t="shared" si="1"/>
        <v>0</v>
      </c>
      <c r="J23" s="829" t="str">
        <f t="shared" si="2"/>
        <v/>
      </c>
      <c r="K23" s="517">
        <f t="shared" si="9"/>
        <v>0</v>
      </c>
    </row>
    <row r="24" spans="1:11" ht="12.75" customHeight="1" x14ac:dyDescent="0.25">
      <c r="A24" s="694" t="s">
        <v>1265</v>
      </c>
      <c r="B24" s="142"/>
      <c r="C24" s="526">
        <v>0</v>
      </c>
      <c r="D24" s="328">
        <v>0</v>
      </c>
      <c r="E24" s="329">
        <v>0</v>
      </c>
      <c r="F24" s="329">
        <v>0</v>
      </c>
      <c r="G24" s="329">
        <v>0</v>
      </c>
      <c r="H24" s="329">
        <f t="shared" si="8"/>
        <v>0</v>
      </c>
      <c r="I24" s="221">
        <f t="shared" si="1"/>
        <v>0</v>
      </c>
      <c r="J24" s="829" t="str">
        <f t="shared" si="2"/>
        <v/>
      </c>
      <c r="K24" s="517">
        <f t="shared" si="9"/>
        <v>0</v>
      </c>
    </row>
    <row r="25" spans="1:11" ht="12.75" customHeight="1" x14ac:dyDescent="0.25">
      <c r="A25" s="694" t="s">
        <v>1266</v>
      </c>
      <c r="B25" s="142"/>
      <c r="C25" s="526">
        <v>9729843.2300000004</v>
      </c>
      <c r="D25" s="328">
        <v>21130700</v>
      </c>
      <c r="E25" s="329">
        <v>21657252</v>
      </c>
      <c r="F25" s="329">
        <v>4094603.67</v>
      </c>
      <c r="G25" s="329">
        <v>13713313.27</v>
      </c>
      <c r="H25" s="329">
        <f t="shared" si="8"/>
        <v>21657252</v>
      </c>
      <c r="I25" s="221">
        <f t="shared" si="1"/>
        <v>7943938.7300000004</v>
      </c>
      <c r="J25" s="829">
        <f t="shared" si="2"/>
        <v>0.36680271024227823</v>
      </c>
      <c r="K25" s="517">
        <f t="shared" si="9"/>
        <v>21657252</v>
      </c>
    </row>
    <row r="26" spans="1:11" ht="12.75" customHeight="1" x14ac:dyDescent="0.25">
      <c r="A26" s="694" t="s">
        <v>1253</v>
      </c>
      <c r="B26" s="142"/>
      <c r="C26" s="526">
        <v>797574.47</v>
      </c>
      <c r="D26" s="328">
        <v>0</v>
      </c>
      <c r="E26" s="329">
        <v>960422</v>
      </c>
      <c r="F26" s="329">
        <v>0</v>
      </c>
      <c r="G26" s="329">
        <v>0</v>
      </c>
      <c r="H26" s="329">
        <f t="shared" si="8"/>
        <v>960422</v>
      </c>
      <c r="I26" s="221">
        <f t="shared" si="1"/>
        <v>960422</v>
      </c>
      <c r="J26" s="829">
        <f t="shared" si="2"/>
        <v>1</v>
      </c>
      <c r="K26" s="517">
        <f t="shared" si="9"/>
        <v>960422</v>
      </c>
    </row>
    <row r="27" spans="1:11" ht="12.75" customHeight="1" x14ac:dyDescent="0.25">
      <c r="A27" s="828" t="s">
        <v>1267</v>
      </c>
      <c r="B27" s="142"/>
      <c r="C27" s="111">
        <f t="shared" ref="C27:H27" si="10">SUM(C28:C37)</f>
        <v>44083605.629999995</v>
      </c>
      <c r="D27" s="43">
        <f t="shared" si="10"/>
        <v>58860688</v>
      </c>
      <c r="E27" s="41">
        <f t="shared" si="10"/>
        <v>70727599.219999999</v>
      </c>
      <c r="F27" s="41">
        <f t="shared" si="10"/>
        <v>1684533.4000000001</v>
      </c>
      <c r="G27" s="41">
        <f t="shared" si="10"/>
        <v>68194522.659999996</v>
      </c>
      <c r="H27" s="41">
        <f t="shared" si="10"/>
        <v>70727599.219999999</v>
      </c>
      <c r="I27" s="221">
        <f t="shared" si="1"/>
        <v>2533076.5600000024</v>
      </c>
      <c r="J27" s="829">
        <f t="shared" si="2"/>
        <v>3.5814541818686693E-2</v>
      </c>
      <c r="K27" s="119">
        <f>SUM(K28:K37)</f>
        <v>70727599.219999999</v>
      </c>
    </row>
    <row r="28" spans="1:11" ht="12.75" customHeight="1" x14ac:dyDescent="0.25">
      <c r="A28" s="694" t="s">
        <v>1268</v>
      </c>
      <c r="B28" s="142"/>
      <c r="C28" s="526">
        <v>0</v>
      </c>
      <c r="D28" s="328">
        <v>0</v>
      </c>
      <c r="E28" s="329">
        <v>0</v>
      </c>
      <c r="F28" s="329">
        <v>0</v>
      </c>
      <c r="G28" s="329">
        <v>0</v>
      </c>
      <c r="H28" s="329">
        <f t="shared" ref="H28:H37" si="11">E28/12*$L$1</f>
        <v>0</v>
      </c>
      <c r="I28" s="221">
        <f t="shared" si="1"/>
        <v>0</v>
      </c>
      <c r="J28" s="829" t="str">
        <f t="shared" si="2"/>
        <v/>
      </c>
      <c r="K28" s="517">
        <f t="shared" ref="K28:K37" si="12">E28</f>
        <v>0</v>
      </c>
    </row>
    <row r="29" spans="1:11" ht="12.75" customHeight="1" x14ac:dyDescent="0.25">
      <c r="A29" s="694" t="s">
        <v>1269</v>
      </c>
      <c r="B29" s="142"/>
      <c r="C29" s="526">
        <v>0</v>
      </c>
      <c r="D29" s="328">
        <v>0</v>
      </c>
      <c r="E29" s="329">
        <v>0</v>
      </c>
      <c r="F29" s="329">
        <v>0</v>
      </c>
      <c r="G29" s="329">
        <v>0</v>
      </c>
      <c r="H29" s="329">
        <f t="shared" si="11"/>
        <v>0</v>
      </c>
      <c r="I29" s="221">
        <f t="shared" si="1"/>
        <v>0</v>
      </c>
      <c r="J29" s="829" t="str">
        <f t="shared" si="2"/>
        <v/>
      </c>
      <c r="K29" s="517">
        <f t="shared" si="12"/>
        <v>0</v>
      </c>
    </row>
    <row r="30" spans="1:11" ht="12.75" customHeight="1" x14ac:dyDescent="0.25">
      <c r="A30" s="694" t="s">
        <v>1270</v>
      </c>
      <c r="B30" s="142"/>
      <c r="C30" s="526">
        <v>26394985.949999999</v>
      </c>
      <c r="D30" s="328">
        <v>29773188</v>
      </c>
      <c r="E30" s="329">
        <v>29315323</v>
      </c>
      <c r="F30" s="908">
        <v>1404466.8800000001</v>
      </c>
      <c r="G30" s="908">
        <v>26102720.330000002</v>
      </c>
      <c r="H30" s="908">
        <f t="shared" si="11"/>
        <v>29315323</v>
      </c>
      <c r="I30" s="221">
        <f t="shared" si="1"/>
        <v>3212602.6699999981</v>
      </c>
      <c r="J30" s="829">
        <f t="shared" si="2"/>
        <v>0.10958783125125376</v>
      </c>
      <c r="K30" s="517">
        <f t="shared" si="12"/>
        <v>29315323</v>
      </c>
    </row>
    <row r="31" spans="1:11" ht="12.75" customHeight="1" x14ac:dyDescent="0.25">
      <c r="A31" s="694" t="s">
        <v>1271</v>
      </c>
      <c r="B31" s="142"/>
      <c r="C31" s="526">
        <v>0</v>
      </c>
      <c r="D31" s="328">
        <v>10040000</v>
      </c>
      <c r="E31" s="329">
        <v>22364776.219999999</v>
      </c>
      <c r="F31" s="908">
        <v>150118.51999999999</v>
      </c>
      <c r="G31" s="908">
        <v>24124259.169999994</v>
      </c>
      <c r="H31" s="908">
        <f t="shared" si="11"/>
        <v>22364776.219999999</v>
      </c>
      <c r="I31" s="221">
        <f t="shared" si="1"/>
        <v>-1759482.9499999955</v>
      </c>
      <c r="J31" s="829">
        <f t="shared" si="2"/>
        <v>-7.8672057019133254E-2</v>
      </c>
      <c r="K31" s="517">
        <f t="shared" si="12"/>
        <v>22364776.219999999</v>
      </c>
    </row>
    <row r="32" spans="1:11" ht="12.75" customHeight="1" x14ac:dyDescent="0.25">
      <c r="A32" s="694" t="s">
        <v>1272</v>
      </c>
      <c r="B32" s="142"/>
      <c r="C32" s="526">
        <v>0</v>
      </c>
      <c r="D32" s="328">
        <v>0</v>
      </c>
      <c r="E32" s="329">
        <v>0</v>
      </c>
      <c r="F32" s="908">
        <v>0</v>
      </c>
      <c r="G32" s="908">
        <v>0</v>
      </c>
      <c r="H32" s="908">
        <f t="shared" si="11"/>
        <v>0</v>
      </c>
      <c r="I32" s="221">
        <f t="shared" si="1"/>
        <v>0</v>
      </c>
      <c r="J32" s="829" t="str">
        <f t="shared" si="2"/>
        <v/>
      </c>
      <c r="K32" s="517">
        <f t="shared" si="12"/>
        <v>0</v>
      </c>
    </row>
    <row r="33" spans="1:12" ht="12.75" customHeight="1" x14ac:dyDescent="0.25">
      <c r="A33" s="694" t="s">
        <v>1273</v>
      </c>
      <c r="B33" s="142"/>
      <c r="C33" s="526">
        <v>0</v>
      </c>
      <c r="D33" s="328">
        <v>0</v>
      </c>
      <c r="E33" s="329">
        <v>0</v>
      </c>
      <c r="F33" s="908">
        <v>0</v>
      </c>
      <c r="G33" s="908">
        <v>0</v>
      </c>
      <c r="H33" s="908">
        <f t="shared" si="11"/>
        <v>0</v>
      </c>
      <c r="I33" s="221">
        <f t="shared" si="1"/>
        <v>0</v>
      </c>
      <c r="J33" s="829" t="str">
        <f t="shared" si="2"/>
        <v/>
      </c>
      <c r="K33" s="517">
        <f t="shared" si="12"/>
        <v>0</v>
      </c>
    </row>
    <row r="34" spans="1:12" ht="12.75" customHeight="1" x14ac:dyDescent="0.25">
      <c r="A34" s="694" t="s">
        <v>1274</v>
      </c>
      <c r="B34" s="142"/>
      <c r="C34" s="526">
        <v>17688619.679999996</v>
      </c>
      <c r="D34" s="328">
        <v>19047500</v>
      </c>
      <c r="E34" s="329">
        <v>19047500</v>
      </c>
      <c r="F34" s="329">
        <v>129948</v>
      </c>
      <c r="G34" s="329">
        <v>17967543.16</v>
      </c>
      <c r="H34" s="329">
        <f t="shared" si="11"/>
        <v>19047500</v>
      </c>
      <c r="I34" s="221">
        <f t="shared" si="1"/>
        <v>1079956.8399999999</v>
      </c>
      <c r="J34" s="829">
        <f t="shared" si="2"/>
        <v>5.6698088463052888E-2</v>
      </c>
      <c r="K34" s="517">
        <f t="shared" si="12"/>
        <v>19047500</v>
      </c>
    </row>
    <row r="35" spans="1:12" ht="12.75" customHeight="1" x14ac:dyDescent="0.25">
      <c r="A35" s="694" t="s">
        <v>1275</v>
      </c>
      <c r="B35" s="142"/>
      <c r="C35" s="526">
        <v>0</v>
      </c>
      <c r="D35" s="328">
        <v>0</v>
      </c>
      <c r="E35" s="329">
        <v>0</v>
      </c>
      <c r="F35" s="329">
        <v>0</v>
      </c>
      <c r="G35" s="329">
        <v>0</v>
      </c>
      <c r="H35" s="329">
        <f t="shared" si="11"/>
        <v>0</v>
      </c>
      <c r="I35" s="221">
        <f t="shared" si="1"/>
        <v>0</v>
      </c>
      <c r="J35" s="829" t="str">
        <f t="shared" si="2"/>
        <v/>
      </c>
      <c r="K35" s="517">
        <f t="shared" si="12"/>
        <v>0</v>
      </c>
    </row>
    <row r="36" spans="1:12" ht="12.75" customHeight="1" x14ac:dyDescent="0.25">
      <c r="A36" s="694" t="s">
        <v>1276</v>
      </c>
      <c r="B36" s="142"/>
      <c r="C36" s="526">
        <v>0</v>
      </c>
      <c r="D36" s="328">
        <v>0</v>
      </c>
      <c r="E36" s="329">
        <v>0</v>
      </c>
      <c r="F36" s="329">
        <v>0</v>
      </c>
      <c r="G36" s="329">
        <v>0</v>
      </c>
      <c r="H36" s="329">
        <f t="shared" si="11"/>
        <v>0</v>
      </c>
      <c r="I36" s="221">
        <f t="shared" si="1"/>
        <v>0</v>
      </c>
      <c r="J36" s="829" t="str">
        <f t="shared" si="2"/>
        <v/>
      </c>
      <c r="K36" s="517">
        <f t="shared" si="12"/>
        <v>0</v>
      </c>
    </row>
    <row r="37" spans="1:12" ht="12.75" customHeight="1" x14ac:dyDescent="0.25">
      <c r="A37" s="694" t="s">
        <v>1253</v>
      </c>
      <c r="B37" s="142"/>
      <c r="C37" s="526">
        <v>0</v>
      </c>
      <c r="D37" s="328">
        <v>0</v>
      </c>
      <c r="E37" s="329">
        <v>0</v>
      </c>
      <c r="F37" s="329">
        <v>0</v>
      </c>
      <c r="G37" s="329">
        <v>0</v>
      </c>
      <c r="H37" s="329">
        <f t="shared" si="11"/>
        <v>0</v>
      </c>
      <c r="I37" s="221">
        <f t="shared" si="1"/>
        <v>0</v>
      </c>
      <c r="J37" s="829" t="str">
        <f t="shared" si="2"/>
        <v/>
      </c>
      <c r="K37" s="517">
        <f t="shared" si="12"/>
        <v>0</v>
      </c>
    </row>
    <row r="38" spans="1:12" ht="12.75" customHeight="1" x14ac:dyDescent="0.25">
      <c r="A38" s="828" t="s">
        <v>1277</v>
      </c>
      <c r="B38" s="142"/>
      <c r="C38" s="111">
        <f t="shared" ref="C38:H38" si="13">SUM(C39:C44)</f>
        <v>30397600.579999998</v>
      </c>
      <c r="D38" s="43">
        <f t="shared" si="13"/>
        <v>19321584</v>
      </c>
      <c r="E38" s="41">
        <f t="shared" si="13"/>
        <v>21463380</v>
      </c>
      <c r="F38" s="41">
        <f t="shared" si="13"/>
        <v>38180</v>
      </c>
      <c r="G38" s="41">
        <f t="shared" si="13"/>
        <v>17705526.5</v>
      </c>
      <c r="H38" s="41">
        <f t="shared" si="13"/>
        <v>21463380</v>
      </c>
      <c r="I38" s="221">
        <f t="shared" ref="I38:I44" si="14">H38-G38</f>
        <v>3757853.5</v>
      </c>
      <c r="J38" s="829">
        <f t="shared" ref="J38:J44" si="15">IF(I38=0,"",I38/H38)</f>
        <v>0.17508209331428695</v>
      </c>
      <c r="K38" s="119">
        <f>SUM(K39:K44)</f>
        <v>21463380</v>
      </c>
    </row>
    <row r="39" spans="1:12" ht="12.75" customHeight="1" x14ac:dyDescent="0.25">
      <c r="A39" s="694" t="s">
        <v>1278</v>
      </c>
      <c r="B39" s="142"/>
      <c r="C39" s="526">
        <v>13975787.719999999</v>
      </c>
      <c r="D39" s="328">
        <v>12184</v>
      </c>
      <c r="E39" s="329">
        <v>1653795</v>
      </c>
      <c r="F39" s="329">
        <v>0</v>
      </c>
      <c r="G39" s="329">
        <v>0</v>
      </c>
      <c r="H39" s="329">
        <f t="shared" ref="H39:H44" si="16">E39/12*$L$1</f>
        <v>1653795</v>
      </c>
      <c r="I39" s="221">
        <f t="shared" si="14"/>
        <v>1653795</v>
      </c>
      <c r="J39" s="829">
        <f t="shared" si="15"/>
        <v>1</v>
      </c>
      <c r="K39" s="517">
        <f t="shared" ref="K39:K44" si="17">E39</f>
        <v>1653795</v>
      </c>
    </row>
    <row r="40" spans="1:12" ht="12.75" customHeight="1" x14ac:dyDescent="0.25">
      <c r="A40" s="694" t="s">
        <v>138</v>
      </c>
      <c r="B40" s="142"/>
      <c r="C40" s="526">
        <v>16421812.859999999</v>
      </c>
      <c r="D40" s="328">
        <v>18959400</v>
      </c>
      <c r="E40" s="329">
        <v>19129400</v>
      </c>
      <c r="F40" s="329">
        <v>38180</v>
      </c>
      <c r="G40" s="329">
        <v>17705526.5</v>
      </c>
      <c r="H40" s="329">
        <f t="shared" si="16"/>
        <v>19129400</v>
      </c>
      <c r="I40" s="221">
        <f>H40-G40</f>
        <v>1423873.5</v>
      </c>
      <c r="J40" s="829">
        <f>IF(I40=0,"",I40/H40)</f>
        <v>7.4433777327046327E-2</v>
      </c>
      <c r="K40" s="517">
        <f t="shared" si="17"/>
        <v>19129400</v>
      </c>
    </row>
    <row r="41" spans="1:12" ht="12.75" customHeight="1" x14ac:dyDescent="0.25">
      <c r="A41" s="694" t="s">
        <v>1279</v>
      </c>
      <c r="B41" s="142"/>
      <c r="C41" s="526">
        <v>0</v>
      </c>
      <c r="D41" s="328">
        <v>350000</v>
      </c>
      <c r="E41" s="329">
        <v>680185</v>
      </c>
      <c r="F41" s="329">
        <v>0</v>
      </c>
      <c r="G41" s="329">
        <v>0</v>
      </c>
      <c r="H41" s="329">
        <f t="shared" si="16"/>
        <v>680185</v>
      </c>
      <c r="I41" s="221">
        <f>H41-G41</f>
        <v>680185</v>
      </c>
      <c r="J41" s="829">
        <f>IF(I41=0,"",I41/H41)</f>
        <v>1</v>
      </c>
      <c r="K41" s="517">
        <f t="shared" si="17"/>
        <v>680185</v>
      </c>
      <c r="L41" s="40"/>
    </row>
    <row r="42" spans="1:12" ht="12.75" customHeight="1" x14ac:dyDescent="0.25">
      <c r="A42" s="694" t="s">
        <v>1280</v>
      </c>
      <c r="B42" s="142"/>
      <c r="C42" s="526">
        <v>0</v>
      </c>
      <c r="D42" s="328">
        <v>0</v>
      </c>
      <c r="E42" s="329">
        <v>0</v>
      </c>
      <c r="F42" s="329">
        <v>0</v>
      </c>
      <c r="G42" s="329">
        <v>0</v>
      </c>
      <c r="H42" s="329">
        <f t="shared" si="16"/>
        <v>0</v>
      </c>
      <c r="I42" s="221">
        <f>H42-G42</f>
        <v>0</v>
      </c>
      <c r="J42" s="829" t="str">
        <f>IF(I42=0,"",I42/H42)</f>
        <v/>
      </c>
      <c r="K42" s="517">
        <f t="shared" si="17"/>
        <v>0</v>
      </c>
    </row>
    <row r="43" spans="1:12" ht="12.75" customHeight="1" x14ac:dyDescent="0.25">
      <c r="A43" s="694" t="s">
        <v>1281</v>
      </c>
      <c r="B43" s="142"/>
      <c r="C43" s="526">
        <v>0</v>
      </c>
      <c r="D43" s="328">
        <v>0</v>
      </c>
      <c r="E43" s="329">
        <v>0</v>
      </c>
      <c r="F43" s="329">
        <v>0</v>
      </c>
      <c r="G43" s="329">
        <v>0</v>
      </c>
      <c r="H43" s="329">
        <f t="shared" si="16"/>
        <v>0</v>
      </c>
      <c r="I43" s="221">
        <f t="shared" si="14"/>
        <v>0</v>
      </c>
      <c r="J43" s="829" t="str">
        <f t="shared" si="15"/>
        <v/>
      </c>
      <c r="K43" s="517">
        <f t="shared" si="17"/>
        <v>0</v>
      </c>
    </row>
    <row r="44" spans="1:12" ht="12.75" customHeight="1" x14ac:dyDescent="0.25">
      <c r="A44" s="694" t="s">
        <v>1253</v>
      </c>
      <c r="B44" s="142"/>
      <c r="C44" s="526">
        <v>0</v>
      </c>
      <c r="D44" s="328">
        <v>0</v>
      </c>
      <c r="E44" s="329">
        <v>0</v>
      </c>
      <c r="F44" s="329">
        <v>0</v>
      </c>
      <c r="G44" s="329">
        <v>0</v>
      </c>
      <c r="H44" s="329">
        <f t="shared" si="16"/>
        <v>0</v>
      </c>
      <c r="I44" s="221">
        <f t="shared" si="14"/>
        <v>0</v>
      </c>
      <c r="J44" s="829" t="str">
        <f t="shared" si="15"/>
        <v/>
      </c>
      <c r="K44" s="517">
        <f t="shared" si="17"/>
        <v>0</v>
      </c>
    </row>
    <row r="45" spans="1:12" ht="12.75" customHeight="1" x14ac:dyDescent="0.25">
      <c r="A45" s="828" t="s">
        <v>1282</v>
      </c>
      <c r="B45" s="142"/>
      <c r="C45" s="111">
        <f t="shared" ref="C45:H45" si="18">SUM(C46:C52)</f>
        <v>3412642.5799999833</v>
      </c>
      <c r="D45" s="43">
        <f t="shared" si="18"/>
        <v>0</v>
      </c>
      <c r="E45" s="41">
        <f t="shared" si="18"/>
        <v>7238000</v>
      </c>
      <c r="F45" s="41">
        <f t="shared" si="18"/>
        <v>6172326.2300000032</v>
      </c>
      <c r="G45" s="41">
        <f t="shared" si="18"/>
        <v>9124366.1399999708</v>
      </c>
      <c r="H45" s="41">
        <f t="shared" si="18"/>
        <v>7238000</v>
      </c>
      <c r="I45" s="221">
        <f t="shared" ref="I45:I68" si="19">H45-G45</f>
        <v>-1886366.1399999708</v>
      </c>
      <c r="J45" s="829">
        <f t="shared" ref="J45:J68" si="20">IF(I45=0,"",I45/H45)</f>
        <v>-0.26061980381320404</v>
      </c>
      <c r="K45" s="119">
        <f>SUM(K46:K52)</f>
        <v>7238000</v>
      </c>
    </row>
    <row r="46" spans="1:12" ht="12.75" customHeight="1" x14ac:dyDescent="0.25">
      <c r="A46" s="694" t="s">
        <v>1283</v>
      </c>
      <c r="B46" s="142"/>
      <c r="C46" s="526">
        <v>3412642.58</v>
      </c>
      <c r="D46" s="328">
        <v>0</v>
      </c>
      <c r="E46" s="329">
        <v>0</v>
      </c>
      <c r="F46" s="329">
        <v>0</v>
      </c>
      <c r="G46" s="329">
        <v>0</v>
      </c>
      <c r="H46" s="329">
        <f t="shared" ref="H46:H52" si="21">E46/12*$L$1</f>
        <v>0</v>
      </c>
      <c r="I46" s="221">
        <f t="shared" si="19"/>
        <v>0</v>
      </c>
      <c r="J46" s="829" t="str">
        <f t="shared" si="20"/>
        <v/>
      </c>
      <c r="K46" s="517">
        <f t="shared" ref="K46:K52" si="22">E46</f>
        <v>0</v>
      </c>
    </row>
    <row r="47" spans="1:12" ht="12.75" customHeight="1" x14ac:dyDescent="0.25">
      <c r="A47" s="694" t="s">
        <v>1284</v>
      </c>
      <c r="B47" s="142"/>
      <c r="C47" s="526">
        <v>0</v>
      </c>
      <c r="D47" s="328">
        <v>0</v>
      </c>
      <c r="E47" s="329">
        <v>7238000</v>
      </c>
      <c r="F47" s="329">
        <v>6172326.2300000032</v>
      </c>
      <c r="G47" s="329">
        <v>9124366.1399999708</v>
      </c>
      <c r="H47" s="329">
        <f t="shared" si="21"/>
        <v>7238000</v>
      </c>
      <c r="I47" s="221">
        <f t="shared" si="19"/>
        <v>-1886366.1399999708</v>
      </c>
      <c r="J47" s="829">
        <f t="shared" si="20"/>
        <v>-0.26061980381320404</v>
      </c>
      <c r="K47" s="517">
        <f t="shared" si="22"/>
        <v>7238000</v>
      </c>
    </row>
    <row r="48" spans="1:12" ht="12.75" customHeight="1" x14ac:dyDescent="0.25">
      <c r="A48" s="694" t="s">
        <v>1285</v>
      </c>
      <c r="B48" s="142"/>
      <c r="C48" s="526">
        <v>0</v>
      </c>
      <c r="D48" s="328">
        <v>0</v>
      </c>
      <c r="E48" s="329">
        <v>0</v>
      </c>
      <c r="F48" s="329">
        <v>0</v>
      </c>
      <c r="G48" s="329">
        <v>0</v>
      </c>
      <c r="H48" s="329">
        <f t="shared" si="21"/>
        <v>0</v>
      </c>
      <c r="I48" s="221">
        <f>H48-G48</f>
        <v>0</v>
      </c>
      <c r="J48" s="829" t="str">
        <f>IF(I48=0,"",I48/H48)</f>
        <v/>
      </c>
      <c r="K48" s="517">
        <f t="shared" si="22"/>
        <v>0</v>
      </c>
    </row>
    <row r="49" spans="1:11" ht="12.75" customHeight="1" x14ac:dyDescent="0.25">
      <c r="A49" s="694" t="s">
        <v>1286</v>
      </c>
      <c r="B49" s="142"/>
      <c r="C49" s="526">
        <v>0</v>
      </c>
      <c r="D49" s="328">
        <v>0</v>
      </c>
      <c r="E49" s="329">
        <v>0</v>
      </c>
      <c r="F49" s="329">
        <v>0</v>
      </c>
      <c r="G49" s="329">
        <v>0</v>
      </c>
      <c r="H49" s="329">
        <f t="shared" si="21"/>
        <v>0</v>
      </c>
      <c r="I49" s="221">
        <f t="shared" si="19"/>
        <v>0</v>
      </c>
      <c r="J49" s="829" t="str">
        <f t="shared" si="20"/>
        <v/>
      </c>
      <c r="K49" s="517">
        <f t="shared" si="22"/>
        <v>0</v>
      </c>
    </row>
    <row r="50" spans="1:11" ht="12.75" customHeight="1" x14ac:dyDescent="0.25">
      <c r="A50" s="694" t="s">
        <v>1287</v>
      </c>
      <c r="B50" s="142"/>
      <c r="C50" s="526">
        <v>0</v>
      </c>
      <c r="D50" s="328">
        <v>0</v>
      </c>
      <c r="E50" s="329">
        <v>0</v>
      </c>
      <c r="F50" s="329">
        <v>0</v>
      </c>
      <c r="G50" s="329">
        <v>0</v>
      </c>
      <c r="H50" s="329">
        <f t="shared" si="21"/>
        <v>0</v>
      </c>
      <c r="I50" s="221">
        <f t="shared" si="19"/>
        <v>0</v>
      </c>
      <c r="J50" s="829" t="str">
        <f t="shared" si="20"/>
        <v/>
      </c>
      <c r="K50" s="517">
        <f t="shared" si="22"/>
        <v>0</v>
      </c>
    </row>
    <row r="51" spans="1:11" ht="12.75" customHeight="1" x14ac:dyDescent="0.25">
      <c r="A51" s="694" t="s">
        <v>1288</v>
      </c>
      <c r="B51" s="142"/>
      <c r="C51" s="526">
        <v>0</v>
      </c>
      <c r="D51" s="328">
        <v>0</v>
      </c>
      <c r="E51" s="329">
        <v>0</v>
      </c>
      <c r="F51" s="329">
        <v>0</v>
      </c>
      <c r="G51" s="329">
        <v>0</v>
      </c>
      <c r="H51" s="329">
        <f t="shared" si="21"/>
        <v>0</v>
      </c>
      <c r="I51" s="221">
        <f t="shared" si="19"/>
        <v>0</v>
      </c>
      <c r="J51" s="829" t="str">
        <f t="shared" si="20"/>
        <v/>
      </c>
      <c r="K51" s="517">
        <f t="shared" si="22"/>
        <v>0</v>
      </c>
    </row>
    <row r="52" spans="1:11" ht="12.75" customHeight="1" x14ac:dyDescent="0.25">
      <c r="A52" s="694" t="s">
        <v>1253</v>
      </c>
      <c r="B52" s="142"/>
      <c r="C52" s="526">
        <v>-1.6763806343078613E-8</v>
      </c>
      <c r="D52" s="328">
        <v>0</v>
      </c>
      <c r="E52" s="329">
        <v>0</v>
      </c>
      <c r="F52" s="329">
        <v>0</v>
      </c>
      <c r="G52" s="329">
        <v>0</v>
      </c>
      <c r="H52" s="329">
        <f t="shared" si="21"/>
        <v>0</v>
      </c>
      <c r="I52" s="221">
        <f t="shared" si="19"/>
        <v>0</v>
      </c>
      <c r="J52" s="829" t="str">
        <f t="shared" si="20"/>
        <v/>
      </c>
      <c r="K52" s="517">
        <f t="shared" si="22"/>
        <v>0</v>
      </c>
    </row>
    <row r="53" spans="1:11" ht="12.75" customHeight="1" x14ac:dyDescent="0.25">
      <c r="A53" s="828" t="s">
        <v>1289</v>
      </c>
      <c r="B53" s="142"/>
      <c r="C53" s="111">
        <f t="shared" ref="C53:H53" si="23">SUM(C54:C62)</f>
        <v>0</v>
      </c>
      <c r="D53" s="43">
        <f t="shared" si="23"/>
        <v>0</v>
      </c>
      <c r="E53" s="41">
        <f t="shared" si="23"/>
        <v>0</v>
      </c>
      <c r="F53" s="41">
        <f t="shared" si="23"/>
        <v>0</v>
      </c>
      <c r="G53" s="41">
        <f t="shared" si="23"/>
        <v>0</v>
      </c>
      <c r="H53" s="41">
        <f t="shared" si="23"/>
        <v>0</v>
      </c>
      <c r="I53" s="221">
        <f t="shared" si="19"/>
        <v>0</v>
      </c>
      <c r="J53" s="829" t="str">
        <f t="shared" si="20"/>
        <v/>
      </c>
      <c r="K53" s="119">
        <f>SUM(K54:K62)</f>
        <v>0</v>
      </c>
    </row>
    <row r="54" spans="1:11" ht="12.75" customHeight="1" x14ac:dyDescent="0.25">
      <c r="A54" s="694" t="s">
        <v>1290</v>
      </c>
      <c r="B54" s="142"/>
      <c r="C54" s="526">
        <v>0</v>
      </c>
      <c r="D54" s="328">
        <v>0</v>
      </c>
      <c r="E54" s="329">
        <v>0</v>
      </c>
      <c r="F54" s="329">
        <v>0</v>
      </c>
      <c r="G54" s="329">
        <v>0</v>
      </c>
      <c r="H54" s="329">
        <f t="shared" ref="H54:H62" si="24">E54/12*$L$1</f>
        <v>0</v>
      </c>
      <c r="I54" s="221">
        <f t="shared" si="19"/>
        <v>0</v>
      </c>
      <c r="J54" s="829" t="str">
        <f t="shared" si="20"/>
        <v/>
      </c>
      <c r="K54" s="517">
        <f t="shared" ref="K54:K62" si="25">E54</f>
        <v>0</v>
      </c>
    </row>
    <row r="55" spans="1:11" ht="12.75" customHeight="1" x14ac:dyDescent="0.25">
      <c r="A55" s="694" t="s">
        <v>1291</v>
      </c>
      <c r="B55" s="142"/>
      <c r="C55" s="526">
        <v>0</v>
      </c>
      <c r="D55" s="328">
        <v>0</v>
      </c>
      <c r="E55" s="329">
        <v>0</v>
      </c>
      <c r="F55" s="329">
        <v>0</v>
      </c>
      <c r="G55" s="329">
        <v>0</v>
      </c>
      <c r="H55" s="329">
        <f t="shared" si="24"/>
        <v>0</v>
      </c>
      <c r="I55" s="221">
        <f t="shared" si="19"/>
        <v>0</v>
      </c>
      <c r="J55" s="829" t="str">
        <f t="shared" si="20"/>
        <v/>
      </c>
      <c r="K55" s="517">
        <f t="shared" si="25"/>
        <v>0</v>
      </c>
    </row>
    <row r="56" spans="1:11" ht="12.75" customHeight="1" x14ac:dyDescent="0.25">
      <c r="A56" s="694" t="s">
        <v>1292</v>
      </c>
      <c r="B56" s="142"/>
      <c r="C56" s="526">
        <v>0</v>
      </c>
      <c r="D56" s="328">
        <v>0</v>
      </c>
      <c r="E56" s="329">
        <v>0</v>
      </c>
      <c r="F56" s="329">
        <v>0</v>
      </c>
      <c r="G56" s="329">
        <v>0</v>
      </c>
      <c r="H56" s="329">
        <f t="shared" si="24"/>
        <v>0</v>
      </c>
      <c r="I56" s="221">
        <f t="shared" si="19"/>
        <v>0</v>
      </c>
      <c r="J56" s="829" t="str">
        <f t="shared" si="20"/>
        <v/>
      </c>
      <c r="K56" s="517">
        <f t="shared" si="25"/>
        <v>0</v>
      </c>
    </row>
    <row r="57" spans="1:11" ht="12.75" customHeight="1" x14ac:dyDescent="0.25">
      <c r="A57" s="694" t="s">
        <v>1255</v>
      </c>
      <c r="B57" s="142"/>
      <c r="C57" s="526">
        <v>0</v>
      </c>
      <c r="D57" s="328">
        <v>0</v>
      </c>
      <c r="E57" s="329">
        <v>0</v>
      </c>
      <c r="F57" s="329">
        <v>0</v>
      </c>
      <c r="G57" s="329">
        <v>0</v>
      </c>
      <c r="H57" s="329">
        <f t="shared" si="24"/>
        <v>0</v>
      </c>
      <c r="I57" s="221">
        <f t="shared" si="19"/>
        <v>0</v>
      </c>
      <c r="J57" s="829" t="str">
        <f t="shared" si="20"/>
        <v/>
      </c>
      <c r="K57" s="517">
        <f t="shared" si="25"/>
        <v>0</v>
      </c>
    </row>
    <row r="58" spans="1:11" ht="12.75" customHeight="1" x14ac:dyDescent="0.25">
      <c r="A58" s="694" t="s">
        <v>1256</v>
      </c>
      <c r="B58" s="142"/>
      <c r="C58" s="526">
        <v>0</v>
      </c>
      <c r="D58" s="328">
        <v>0</v>
      </c>
      <c r="E58" s="329">
        <v>0</v>
      </c>
      <c r="F58" s="329">
        <v>0</v>
      </c>
      <c r="G58" s="329">
        <v>0</v>
      </c>
      <c r="H58" s="329">
        <f t="shared" si="24"/>
        <v>0</v>
      </c>
      <c r="I58" s="221">
        <f t="shared" si="19"/>
        <v>0</v>
      </c>
      <c r="J58" s="829" t="str">
        <f t="shared" si="20"/>
        <v/>
      </c>
      <c r="K58" s="517">
        <f t="shared" si="25"/>
        <v>0</v>
      </c>
    </row>
    <row r="59" spans="1:11" ht="12.75" customHeight="1" x14ac:dyDescent="0.25">
      <c r="A59" s="694" t="s">
        <v>1257</v>
      </c>
      <c r="B59" s="142"/>
      <c r="C59" s="526">
        <v>0</v>
      </c>
      <c r="D59" s="328">
        <v>0</v>
      </c>
      <c r="E59" s="329">
        <v>0</v>
      </c>
      <c r="F59" s="329">
        <v>0</v>
      </c>
      <c r="G59" s="329">
        <v>0</v>
      </c>
      <c r="H59" s="329">
        <f t="shared" si="24"/>
        <v>0</v>
      </c>
      <c r="I59" s="221">
        <f t="shared" si="19"/>
        <v>0</v>
      </c>
      <c r="J59" s="829" t="str">
        <f t="shared" si="20"/>
        <v/>
      </c>
      <c r="K59" s="517">
        <f t="shared" si="25"/>
        <v>0</v>
      </c>
    </row>
    <row r="60" spans="1:11" ht="12.75" customHeight="1" x14ac:dyDescent="0.25">
      <c r="A60" s="694" t="s">
        <v>1263</v>
      </c>
      <c r="B60" s="142"/>
      <c r="C60" s="526">
        <v>0</v>
      </c>
      <c r="D60" s="328">
        <v>0</v>
      </c>
      <c r="E60" s="329">
        <v>0</v>
      </c>
      <c r="F60" s="329">
        <v>0</v>
      </c>
      <c r="G60" s="329">
        <v>0</v>
      </c>
      <c r="H60" s="329">
        <f t="shared" si="24"/>
        <v>0</v>
      </c>
      <c r="I60" s="221">
        <f t="shared" si="19"/>
        <v>0</v>
      </c>
      <c r="J60" s="829" t="str">
        <f t="shared" si="20"/>
        <v/>
      </c>
      <c r="K60" s="517">
        <f t="shared" si="25"/>
        <v>0</v>
      </c>
    </row>
    <row r="61" spans="1:11" ht="12.75" customHeight="1" x14ac:dyDescent="0.25">
      <c r="A61" s="694" t="s">
        <v>1266</v>
      </c>
      <c r="B61" s="142"/>
      <c r="C61" s="526">
        <v>0</v>
      </c>
      <c r="D61" s="328">
        <v>0</v>
      </c>
      <c r="E61" s="329">
        <v>0</v>
      </c>
      <c r="F61" s="329">
        <v>0</v>
      </c>
      <c r="G61" s="329">
        <v>0</v>
      </c>
      <c r="H61" s="329">
        <f t="shared" si="24"/>
        <v>0</v>
      </c>
      <c r="I61" s="221">
        <f t="shared" si="19"/>
        <v>0</v>
      </c>
      <c r="J61" s="829" t="str">
        <f t="shared" si="20"/>
        <v/>
      </c>
      <c r="K61" s="517">
        <f t="shared" si="25"/>
        <v>0</v>
      </c>
    </row>
    <row r="62" spans="1:11" ht="12.75" customHeight="1" x14ac:dyDescent="0.25">
      <c r="A62" s="694" t="s">
        <v>1253</v>
      </c>
      <c r="B62" s="142"/>
      <c r="C62" s="526">
        <v>0</v>
      </c>
      <c r="D62" s="328">
        <v>0</v>
      </c>
      <c r="E62" s="329">
        <v>0</v>
      </c>
      <c r="F62" s="329">
        <v>0</v>
      </c>
      <c r="G62" s="329">
        <v>0</v>
      </c>
      <c r="H62" s="329">
        <f t="shared" si="24"/>
        <v>0</v>
      </c>
      <c r="I62" s="221">
        <f t="shared" si="19"/>
        <v>0</v>
      </c>
      <c r="J62" s="829" t="str">
        <f t="shared" si="20"/>
        <v/>
      </c>
      <c r="K62" s="517">
        <f t="shared" si="25"/>
        <v>0</v>
      </c>
    </row>
    <row r="63" spans="1:11" ht="12.75" customHeight="1" x14ac:dyDescent="0.25">
      <c r="A63" s="828" t="s">
        <v>1293</v>
      </c>
      <c r="B63" s="142"/>
      <c r="C63" s="111">
        <f t="shared" ref="C63:H63" si="26">SUM(C64:C68)</f>
        <v>0</v>
      </c>
      <c r="D63" s="43">
        <f t="shared" si="26"/>
        <v>0</v>
      </c>
      <c r="E63" s="41">
        <f t="shared" si="26"/>
        <v>0</v>
      </c>
      <c r="F63" s="41">
        <f t="shared" si="26"/>
        <v>0</v>
      </c>
      <c r="G63" s="41">
        <f t="shared" si="26"/>
        <v>0</v>
      </c>
      <c r="H63" s="41">
        <f t="shared" si="26"/>
        <v>0</v>
      </c>
      <c r="I63" s="221">
        <f t="shared" si="19"/>
        <v>0</v>
      </c>
      <c r="J63" s="829" t="str">
        <f t="shared" si="20"/>
        <v/>
      </c>
      <c r="K63" s="119">
        <f>SUM(K64:K68)</f>
        <v>0</v>
      </c>
    </row>
    <row r="64" spans="1:11" ht="12.75" customHeight="1" x14ac:dyDescent="0.25">
      <c r="A64" s="694" t="s">
        <v>1294</v>
      </c>
      <c r="B64" s="142"/>
      <c r="C64" s="526">
        <v>0</v>
      </c>
      <c r="D64" s="328">
        <v>0</v>
      </c>
      <c r="E64" s="329">
        <v>0</v>
      </c>
      <c r="F64" s="329">
        <v>0</v>
      </c>
      <c r="G64" s="329">
        <v>0</v>
      </c>
      <c r="H64" s="329">
        <f t="shared" ref="H64:H68" si="27">E64/12*$L$1</f>
        <v>0</v>
      </c>
      <c r="I64" s="221">
        <f t="shared" si="19"/>
        <v>0</v>
      </c>
      <c r="J64" s="829" t="str">
        <f t="shared" si="20"/>
        <v/>
      </c>
      <c r="K64" s="517">
        <f>E64</f>
        <v>0</v>
      </c>
    </row>
    <row r="65" spans="1:12" ht="12.75" customHeight="1" x14ac:dyDescent="0.25">
      <c r="A65" s="694" t="s">
        <v>1295</v>
      </c>
      <c r="B65" s="142"/>
      <c r="C65" s="526">
        <v>0</v>
      </c>
      <c r="D65" s="328">
        <v>0</v>
      </c>
      <c r="E65" s="329">
        <v>0</v>
      </c>
      <c r="F65" s="329">
        <v>0</v>
      </c>
      <c r="G65" s="329">
        <v>0</v>
      </c>
      <c r="H65" s="329">
        <f t="shared" si="27"/>
        <v>0</v>
      </c>
      <c r="I65" s="221">
        <f t="shared" si="19"/>
        <v>0</v>
      </c>
      <c r="J65" s="829" t="str">
        <f t="shared" si="20"/>
        <v/>
      </c>
      <c r="K65" s="517">
        <f>E65</f>
        <v>0</v>
      </c>
    </row>
    <row r="66" spans="1:12" ht="12.75" customHeight="1" x14ac:dyDescent="0.25">
      <c r="A66" s="694" t="s">
        <v>1296</v>
      </c>
      <c r="B66" s="142"/>
      <c r="C66" s="526">
        <v>0</v>
      </c>
      <c r="D66" s="328">
        <v>0</v>
      </c>
      <c r="E66" s="329">
        <v>0</v>
      </c>
      <c r="F66" s="329">
        <v>0</v>
      </c>
      <c r="G66" s="329">
        <v>0</v>
      </c>
      <c r="H66" s="329">
        <f t="shared" si="27"/>
        <v>0</v>
      </c>
      <c r="I66" s="221">
        <f t="shared" si="19"/>
        <v>0</v>
      </c>
      <c r="J66" s="829" t="str">
        <f t="shared" si="20"/>
        <v/>
      </c>
      <c r="K66" s="517">
        <f>E66</f>
        <v>0</v>
      </c>
    </row>
    <row r="67" spans="1:12" ht="12.75" customHeight="1" x14ac:dyDescent="0.25">
      <c r="A67" s="694" t="s">
        <v>1297</v>
      </c>
      <c r="B67" s="142"/>
      <c r="C67" s="526">
        <v>0</v>
      </c>
      <c r="D67" s="328">
        <v>0</v>
      </c>
      <c r="E67" s="329">
        <v>0</v>
      </c>
      <c r="F67" s="329">
        <v>0</v>
      </c>
      <c r="G67" s="329">
        <v>0</v>
      </c>
      <c r="H67" s="329">
        <f t="shared" si="27"/>
        <v>0</v>
      </c>
      <c r="I67" s="221">
        <f t="shared" si="19"/>
        <v>0</v>
      </c>
      <c r="J67" s="829" t="str">
        <f t="shared" si="20"/>
        <v/>
      </c>
      <c r="K67" s="517">
        <f>E67</f>
        <v>0</v>
      </c>
    </row>
    <row r="68" spans="1:12" ht="12.75" customHeight="1" x14ac:dyDescent="0.25">
      <c r="A68" s="694" t="s">
        <v>1253</v>
      </c>
      <c r="B68" s="142"/>
      <c r="C68" s="526">
        <v>0</v>
      </c>
      <c r="D68" s="328">
        <v>0</v>
      </c>
      <c r="E68" s="329">
        <v>0</v>
      </c>
      <c r="F68" s="329">
        <v>0</v>
      </c>
      <c r="G68" s="329">
        <v>0</v>
      </c>
      <c r="H68" s="329">
        <f t="shared" si="27"/>
        <v>0</v>
      </c>
      <c r="I68" s="221">
        <f t="shared" si="19"/>
        <v>0</v>
      </c>
      <c r="J68" s="829" t="str">
        <f t="shared" si="20"/>
        <v/>
      </c>
      <c r="K68" s="517">
        <f>E68</f>
        <v>0</v>
      </c>
    </row>
    <row r="69" spans="1:12" ht="12.75" customHeight="1" x14ac:dyDescent="0.25">
      <c r="A69" s="828" t="s">
        <v>1298</v>
      </c>
      <c r="B69" s="142"/>
      <c r="C69" s="111">
        <f t="shared" ref="C69:H69" si="28">SUM(C70:C73)</f>
        <v>0</v>
      </c>
      <c r="D69" s="43">
        <f t="shared" si="28"/>
        <v>0</v>
      </c>
      <c r="E69" s="41">
        <f t="shared" si="28"/>
        <v>0</v>
      </c>
      <c r="F69" s="41">
        <f t="shared" si="28"/>
        <v>0</v>
      </c>
      <c r="G69" s="41">
        <f t="shared" si="28"/>
        <v>0</v>
      </c>
      <c r="H69" s="41">
        <f t="shared" si="28"/>
        <v>0</v>
      </c>
      <c r="I69" s="221">
        <f>H69-G69</f>
        <v>0</v>
      </c>
      <c r="J69" s="829" t="str">
        <f t="shared" ref="J69:J75" si="29">IF(I69=0,"",I69/H69)</f>
        <v/>
      </c>
      <c r="K69" s="119">
        <f>SUM(K70:K73)</f>
        <v>0</v>
      </c>
    </row>
    <row r="70" spans="1:12" ht="12.75" customHeight="1" x14ac:dyDescent="0.25">
      <c r="A70" s="694" t="s">
        <v>1299</v>
      </c>
      <c r="B70" s="142"/>
      <c r="C70" s="526">
        <v>0</v>
      </c>
      <c r="D70" s="328">
        <v>0</v>
      </c>
      <c r="E70" s="329">
        <v>0</v>
      </c>
      <c r="F70" s="329">
        <v>0</v>
      </c>
      <c r="G70" s="329">
        <v>0</v>
      </c>
      <c r="H70" s="329">
        <f t="shared" ref="H70:H73" si="30">E70/12*$L$1</f>
        <v>0</v>
      </c>
      <c r="I70" s="221">
        <f>H70-G70</f>
        <v>0</v>
      </c>
      <c r="J70" s="829" t="str">
        <f t="shared" si="29"/>
        <v/>
      </c>
      <c r="K70" s="517">
        <f>E70</f>
        <v>0</v>
      </c>
    </row>
    <row r="71" spans="1:12" ht="12.75" customHeight="1" x14ac:dyDescent="0.25">
      <c r="A71" s="694" t="s">
        <v>1300</v>
      </c>
      <c r="B71" s="142"/>
      <c r="C71" s="526">
        <v>0</v>
      </c>
      <c r="D71" s="328">
        <v>0</v>
      </c>
      <c r="E71" s="329">
        <v>0</v>
      </c>
      <c r="F71" s="329">
        <v>0</v>
      </c>
      <c r="G71" s="329">
        <v>0</v>
      </c>
      <c r="H71" s="329">
        <f t="shared" si="30"/>
        <v>0</v>
      </c>
      <c r="I71" s="221">
        <f>H71-G71</f>
        <v>0</v>
      </c>
      <c r="J71" s="829" t="str">
        <f t="shared" si="29"/>
        <v/>
      </c>
      <c r="K71" s="517">
        <f>E71</f>
        <v>0</v>
      </c>
    </row>
    <row r="72" spans="1:12" ht="12.75" customHeight="1" x14ac:dyDescent="0.25">
      <c r="A72" s="694" t="s">
        <v>1301</v>
      </c>
      <c r="B72" s="142"/>
      <c r="C72" s="526">
        <v>0</v>
      </c>
      <c r="D72" s="328">
        <v>0</v>
      </c>
      <c r="E72" s="329">
        <v>0</v>
      </c>
      <c r="F72" s="329">
        <v>0</v>
      </c>
      <c r="G72" s="329">
        <v>0</v>
      </c>
      <c r="H72" s="329">
        <f t="shared" si="30"/>
        <v>0</v>
      </c>
      <c r="I72" s="221">
        <f>H72-G72</f>
        <v>0</v>
      </c>
      <c r="J72" s="829" t="str">
        <f t="shared" si="29"/>
        <v/>
      </c>
      <c r="K72" s="517">
        <f>E72</f>
        <v>0</v>
      </c>
    </row>
    <row r="73" spans="1:12" ht="12.75" customHeight="1" x14ac:dyDescent="0.25">
      <c r="A73" s="694" t="s">
        <v>1253</v>
      </c>
      <c r="B73" s="142"/>
      <c r="C73" s="526">
        <v>0</v>
      </c>
      <c r="D73" s="328">
        <v>0</v>
      </c>
      <c r="E73" s="329">
        <v>0</v>
      </c>
      <c r="F73" s="329">
        <v>0</v>
      </c>
      <c r="G73" s="329">
        <v>0</v>
      </c>
      <c r="H73" s="329">
        <f t="shared" si="30"/>
        <v>0</v>
      </c>
      <c r="I73" s="221">
        <f>H73-G73</f>
        <v>0</v>
      </c>
      <c r="J73" s="829" t="str">
        <f t="shared" si="29"/>
        <v/>
      </c>
      <c r="K73" s="517">
        <f>E73</f>
        <v>0</v>
      </c>
    </row>
    <row r="74" spans="1:12" ht="5.25" customHeight="1" x14ac:dyDescent="0.25">
      <c r="A74" s="694"/>
      <c r="B74" s="142"/>
      <c r="C74" s="111"/>
      <c r="D74" s="43"/>
      <c r="E74" s="41"/>
      <c r="F74" s="41"/>
      <c r="G74" s="41"/>
      <c r="H74" s="41"/>
      <c r="I74" s="221"/>
      <c r="J74" s="829" t="str">
        <f t="shared" si="29"/>
        <v/>
      </c>
      <c r="K74" s="119"/>
    </row>
    <row r="75" spans="1:12" ht="12.75" customHeight="1" x14ac:dyDescent="0.25">
      <c r="A75" s="32" t="s">
        <v>1322</v>
      </c>
      <c r="B75" s="142"/>
      <c r="C75" s="472">
        <f>+C76+C99</f>
        <v>6365006.21</v>
      </c>
      <c r="D75" s="830">
        <f>D76+D99</f>
        <v>11091405</v>
      </c>
      <c r="E75" s="474">
        <f>E76+E99</f>
        <v>4203080</v>
      </c>
      <c r="F75" s="474">
        <f>+F76+F99</f>
        <v>361796.69</v>
      </c>
      <c r="G75" s="474">
        <f>+G76+G99</f>
        <v>3565763.58</v>
      </c>
      <c r="H75" s="474">
        <f>+H76+H99</f>
        <v>4203080</v>
      </c>
      <c r="I75" s="474">
        <f>H75-G75</f>
        <v>637316.41999999993</v>
      </c>
      <c r="J75" s="827">
        <f t="shared" si="29"/>
        <v>0.15163080883542543</v>
      </c>
      <c r="K75" s="476">
        <f>+K76+K99</f>
        <v>4203080</v>
      </c>
    </row>
    <row r="76" spans="1:12" ht="12.75" customHeight="1" x14ac:dyDescent="0.25">
      <c r="A76" s="828" t="s">
        <v>1302</v>
      </c>
      <c r="B76" s="142"/>
      <c r="C76" s="111">
        <f t="shared" ref="C76:H76" si="31">SUM(C77:C98)</f>
        <v>6365006.21</v>
      </c>
      <c r="D76" s="43">
        <f t="shared" si="31"/>
        <v>2550000</v>
      </c>
      <c r="E76" s="41">
        <f t="shared" si="31"/>
        <v>3620080</v>
      </c>
      <c r="F76" s="41">
        <f t="shared" si="31"/>
        <v>361796.69</v>
      </c>
      <c r="G76" s="41">
        <f t="shared" si="31"/>
        <v>3565763.58</v>
      </c>
      <c r="H76" s="41">
        <f t="shared" si="31"/>
        <v>3620080</v>
      </c>
      <c r="I76" s="221">
        <f t="shared" ref="I76:I87" si="32">H76-G76</f>
        <v>54316.419999999925</v>
      </c>
      <c r="J76" s="829">
        <f t="shared" ref="J76:J87" si="33">IF(I76=0,"",I76/H76)</f>
        <v>1.5004204326976179E-2</v>
      </c>
      <c r="K76" s="119">
        <f>SUM(K77:K98)</f>
        <v>3620080</v>
      </c>
    </row>
    <row r="77" spans="1:12" ht="12.75" customHeight="1" x14ac:dyDescent="0.25">
      <c r="A77" s="694" t="s">
        <v>1303</v>
      </c>
      <c r="B77" s="142"/>
      <c r="C77" s="526">
        <v>0</v>
      </c>
      <c r="D77" s="531">
        <v>0</v>
      </c>
      <c r="E77" s="329">
        <v>0</v>
      </c>
      <c r="F77" s="329">
        <v>0</v>
      </c>
      <c r="G77" s="329">
        <v>0</v>
      </c>
      <c r="H77" s="329">
        <f t="shared" ref="H77:H98" si="34">E77/12*$L$1</f>
        <v>0</v>
      </c>
      <c r="I77" s="41">
        <f t="shared" si="32"/>
        <v>0</v>
      </c>
      <c r="J77" s="826" t="str">
        <f t="shared" si="33"/>
        <v/>
      </c>
      <c r="K77" s="517">
        <f t="shared" ref="K77:K98" si="35">E77</f>
        <v>0</v>
      </c>
    </row>
    <row r="78" spans="1:12" ht="12.75" customHeight="1" x14ac:dyDescent="0.25">
      <c r="A78" s="694" t="s">
        <v>1304</v>
      </c>
      <c r="B78" s="142"/>
      <c r="C78" s="526">
        <v>2001097.6100000003</v>
      </c>
      <c r="D78" s="531">
        <v>2200000</v>
      </c>
      <c r="E78" s="329">
        <v>3270080</v>
      </c>
      <c r="F78" s="329">
        <v>361796.69</v>
      </c>
      <c r="G78" s="329">
        <v>3565763.58</v>
      </c>
      <c r="H78" s="329">
        <f t="shared" si="34"/>
        <v>3270080</v>
      </c>
      <c r="I78" s="41">
        <f t="shared" si="32"/>
        <v>-295683.58000000007</v>
      </c>
      <c r="J78" s="826">
        <f t="shared" si="33"/>
        <v>-9.0420901017712121E-2</v>
      </c>
      <c r="K78" s="517">
        <f t="shared" si="35"/>
        <v>3270080</v>
      </c>
      <c r="L78" s="40"/>
    </row>
    <row r="79" spans="1:12" ht="12.75" customHeight="1" x14ac:dyDescent="0.25">
      <c r="A79" s="694" t="s">
        <v>1305</v>
      </c>
      <c r="B79" s="142"/>
      <c r="C79" s="526">
        <v>0</v>
      </c>
      <c r="D79" s="531">
        <v>0</v>
      </c>
      <c r="E79" s="329">
        <v>0</v>
      </c>
      <c r="F79" s="329">
        <v>0</v>
      </c>
      <c r="G79" s="329">
        <v>0</v>
      </c>
      <c r="H79" s="329">
        <f t="shared" si="34"/>
        <v>0</v>
      </c>
      <c r="I79" s="41">
        <f t="shared" si="32"/>
        <v>0</v>
      </c>
      <c r="J79" s="826" t="str">
        <f t="shared" si="33"/>
        <v/>
      </c>
      <c r="K79" s="517">
        <f t="shared" si="35"/>
        <v>0</v>
      </c>
    </row>
    <row r="80" spans="1:12" ht="12.75" customHeight="1" x14ac:dyDescent="0.25">
      <c r="A80" s="694" t="s">
        <v>1306</v>
      </c>
      <c r="B80" s="142"/>
      <c r="C80" s="526">
        <v>0</v>
      </c>
      <c r="D80" s="531">
        <v>0</v>
      </c>
      <c r="E80" s="329">
        <v>0</v>
      </c>
      <c r="F80" s="329">
        <v>0</v>
      </c>
      <c r="G80" s="329">
        <v>0</v>
      </c>
      <c r="H80" s="329">
        <f t="shared" si="34"/>
        <v>0</v>
      </c>
      <c r="I80" s="41">
        <f t="shared" si="32"/>
        <v>0</v>
      </c>
      <c r="J80" s="826" t="str">
        <f t="shared" si="33"/>
        <v/>
      </c>
      <c r="K80" s="517">
        <f t="shared" si="35"/>
        <v>0</v>
      </c>
    </row>
    <row r="81" spans="1:11" ht="12.75" customHeight="1" x14ac:dyDescent="0.25">
      <c r="A81" s="694" t="s">
        <v>1307</v>
      </c>
      <c r="B81" s="142"/>
      <c r="C81" s="526">
        <v>84215.76</v>
      </c>
      <c r="D81" s="531">
        <v>0</v>
      </c>
      <c r="E81" s="329">
        <v>0</v>
      </c>
      <c r="F81" s="329">
        <v>0</v>
      </c>
      <c r="G81" s="329">
        <v>0</v>
      </c>
      <c r="H81" s="329">
        <f t="shared" si="34"/>
        <v>0</v>
      </c>
      <c r="I81" s="41">
        <f t="shared" si="32"/>
        <v>0</v>
      </c>
      <c r="J81" s="826" t="str">
        <f t="shared" si="33"/>
        <v/>
      </c>
      <c r="K81" s="517">
        <f t="shared" si="35"/>
        <v>0</v>
      </c>
    </row>
    <row r="82" spans="1:11" ht="12.75" customHeight="1" x14ac:dyDescent="0.25">
      <c r="A82" s="694" t="s">
        <v>1308</v>
      </c>
      <c r="B82" s="142"/>
      <c r="C82" s="526">
        <v>0</v>
      </c>
      <c r="D82" s="531">
        <v>0</v>
      </c>
      <c r="E82" s="329">
        <v>0</v>
      </c>
      <c r="F82" s="329">
        <v>0</v>
      </c>
      <c r="G82" s="329">
        <v>0</v>
      </c>
      <c r="H82" s="329">
        <f t="shared" si="34"/>
        <v>0</v>
      </c>
      <c r="I82" s="41">
        <f t="shared" si="32"/>
        <v>0</v>
      </c>
      <c r="J82" s="826" t="str">
        <f t="shared" si="33"/>
        <v/>
      </c>
      <c r="K82" s="517">
        <f t="shared" si="35"/>
        <v>0</v>
      </c>
    </row>
    <row r="83" spans="1:11" ht="12.75" customHeight="1" x14ac:dyDescent="0.25">
      <c r="A83" s="694" t="s">
        <v>1309</v>
      </c>
      <c r="B83" s="142"/>
      <c r="C83" s="526">
        <v>0</v>
      </c>
      <c r="D83" s="531">
        <v>0</v>
      </c>
      <c r="E83" s="329">
        <v>0</v>
      </c>
      <c r="F83" s="329">
        <v>0</v>
      </c>
      <c r="G83" s="329">
        <v>0</v>
      </c>
      <c r="H83" s="329">
        <f t="shared" si="34"/>
        <v>0</v>
      </c>
      <c r="I83" s="41">
        <f t="shared" si="32"/>
        <v>0</v>
      </c>
      <c r="J83" s="826" t="str">
        <f t="shared" si="33"/>
        <v/>
      </c>
      <c r="K83" s="517">
        <f t="shared" si="35"/>
        <v>0</v>
      </c>
    </row>
    <row r="84" spans="1:11" ht="12.75" customHeight="1" x14ac:dyDescent="0.25">
      <c r="A84" s="694" t="s">
        <v>1310</v>
      </c>
      <c r="B84" s="142"/>
      <c r="C84" s="526">
        <v>0</v>
      </c>
      <c r="D84" s="531">
        <v>0</v>
      </c>
      <c r="E84" s="329">
        <v>0</v>
      </c>
      <c r="F84" s="329">
        <v>0</v>
      </c>
      <c r="G84" s="329">
        <v>0</v>
      </c>
      <c r="H84" s="329">
        <f t="shared" si="34"/>
        <v>0</v>
      </c>
      <c r="I84" s="41">
        <f t="shared" si="32"/>
        <v>0</v>
      </c>
      <c r="J84" s="826" t="str">
        <f t="shared" si="33"/>
        <v/>
      </c>
      <c r="K84" s="517">
        <f t="shared" si="35"/>
        <v>0</v>
      </c>
    </row>
    <row r="85" spans="1:11" ht="12.75" customHeight="1" x14ac:dyDescent="0.25">
      <c r="A85" s="694" t="s">
        <v>1186</v>
      </c>
      <c r="B85" s="142"/>
      <c r="C85" s="526">
        <v>0</v>
      </c>
      <c r="D85" s="531">
        <v>0</v>
      </c>
      <c r="E85" s="329">
        <v>0</v>
      </c>
      <c r="F85" s="329">
        <v>0</v>
      </c>
      <c r="G85" s="329">
        <v>0</v>
      </c>
      <c r="H85" s="329">
        <f t="shared" si="34"/>
        <v>0</v>
      </c>
      <c r="I85" s="41">
        <f t="shared" si="32"/>
        <v>0</v>
      </c>
      <c r="J85" s="826" t="str">
        <f t="shared" si="33"/>
        <v/>
      </c>
      <c r="K85" s="517">
        <f t="shared" si="35"/>
        <v>0</v>
      </c>
    </row>
    <row r="86" spans="1:11" ht="12.75" customHeight="1" x14ac:dyDescent="0.25">
      <c r="A86" s="694" t="s">
        <v>564</v>
      </c>
      <c r="B86" s="142"/>
      <c r="C86" s="526">
        <v>0</v>
      </c>
      <c r="D86" s="531">
        <v>0</v>
      </c>
      <c r="E86" s="329">
        <v>0</v>
      </c>
      <c r="F86" s="329">
        <v>0</v>
      </c>
      <c r="G86" s="329">
        <v>0</v>
      </c>
      <c r="H86" s="329">
        <f t="shared" si="34"/>
        <v>0</v>
      </c>
      <c r="I86" s="41">
        <f t="shared" si="32"/>
        <v>0</v>
      </c>
      <c r="J86" s="826" t="str">
        <f t="shared" si="33"/>
        <v/>
      </c>
      <c r="K86" s="517">
        <f t="shared" si="35"/>
        <v>0</v>
      </c>
    </row>
    <row r="87" spans="1:11" ht="12.75" customHeight="1" x14ac:dyDescent="0.25">
      <c r="A87" s="694" t="s">
        <v>1311</v>
      </c>
      <c r="B87" s="142"/>
      <c r="C87" s="526">
        <v>0</v>
      </c>
      <c r="D87" s="531">
        <v>0</v>
      </c>
      <c r="E87" s="329">
        <v>0</v>
      </c>
      <c r="F87" s="329">
        <v>0</v>
      </c>
      <c r="G87" s="329">
        <v>0</v>
      </c>
      <c r="H87" s="329">
        <f t="shared" si="34"/>
        <v>0</v>
      </c>
      <c r="I87" s="41">
        <f t="shared" si="32"/>
        <v>0</v>
      </c>
      <c r="J87" s="826" t="str">
        <f t="shared" si="33"/>
        <v/>
      </c>
      <c r="K87" s="517">
        <f t="shared" si="35"/>
        <v>0</v>
      </c>
    </row>
    <row r="88" spans="1:11" ht="12.75" customHeight="1" x14ac:dyDescent="0.25">
      <c r="A88" s="694" t="s">
        <v>170</v>
      </c>
      <c r="B88" s="142"/>
      <c r="C88" s="526">
        <v>0</v>
      </c>
      <c r="D88" s="531">
        <v>0</v>
      </c>
      <c r="E88" s="329">
        <v>0</v>
      </c>
      <c r="F88" s="329">
        <v>0</v>
      </c>
      <c r="G88" s="329">
        <v>0</v>
      </c>
      <c r="H88" s="329">
        <f t="shared" si="34"/>
        <v>0</v>
      </c>
      <c r="I88" s="41">
        <f t="shared" ref="I88:I135" si="36">H88-G88</f>
        <v>0</v>
      </c>
      <c r="J88" s="826" t="str">
        <f t="shared" ref="J88:J121" si="37">IF(I88=0,"",I88/H88)</f>
        <v/>
      </c>
      <c r="K88" s="517">
        <f t="shared" si="35"/>
        <v>0</v>
      </c>
    </row>
    <row r="89" spans="1:11" ht="12.75" customHeight="1" x14ac:dyDescent="0.25">
      <c r="A89" s="694" t="s">
        <v>1312</v>
      </c>
      <c r="B89" s="142"/>
      <c r="C89" s="526">
        <v>0</v>
      </c>
      <c r="D89" s="531">
        <v>0</v>
      </c>
      <c r="E89" s="329">
        <v>0</v>
      </c>
      <c r="F89" s="329">
        <v>0</v>
      </c>
      <c r="G89" s="329">
        <v>0</v>
      </c>
      <c r="H89" s="329">
        <f t="shared" si="34"/>
        <v>0</v>
      </c>
      <c r="I89" s="41">
        <f t="shared" si="36"/>
        <v>0</v>
      </c>
      <c r="J89" s="826" t="str">
        <f t="shared" si="37"/>
        <v/>
      </c>
      <c r="K89" s="517">
        <f t="shared" si="35"/>
        <v>0</v>
      </c>
    </row>
    <row r="90" spans="1:11" ht="12.75" customHeight="1" x14ac:dyDescent="0.25">
      <c r="A90" s="694" t="s">
        <v>1313</v>
      </c>
      <c r="B90" s="142"/>
      <c r="C90" s="526">
        <v>4279692.84</v>
      </c>
      <c r="D90" s="531">
        <v>0</v>
      </c>
      <c r="E90" s="329">
        <v>0</v>
      </c>
      <c r="F90" s="329">
        <v>0</v>
      </c>
      <c r="G90" s="329">
        <v>0</v>
      </c>
      <c r="H90" s="329">
        <f t="shared" si="34"/>
        <v>0</v>
      </c>
      <c r="I90" s="41">
        <f t="shared" si="36"/>
        <v>0</v>
      </c>
      <c r="J90" s="826" t="str">
        <f t="shared" si="37"/>
        <v/>
      </c>
      <c r="K90" s="517">
        <f t="shared" si="35"/>
        <v>0</v>
      </c>
    </row>
    <row r="91" spans="1:11" ht="12.75" customHeight="1" x14ac:dyDescent="0.25">
      <c r="A91" s="694" t="s">
        <v>1314</v>
      </c>
      <c r="B91" s="142"/>
      <c r="C91" s="526">
        <v>0</v>
      </c>
      <c r="D91" s="531">
        <v>0</v>
      </c>
      <c r="E91" s="329">
        <v>0</v>
      </c>
      <c r="F91" s="329">
        <v>0</v>
      </c>
      <c r="G91" s="329">
        <v>0</v>
      </c>
      <c r="H91" s="329">
        <f t="shared" si="34"/>
        <v>0</v>
      </c>
      <c r="I91" s="41">
        <f t="shared" si="36"/>
        <v>0</v>
      </c>
      <c r="J91" s="826" t="str">
        <f t="shared" si="37"/>
        <v/>
      </c>
      <c r="K91" s="517">
        <f t="shared" si="35"/>
        <v>0</v>
      </c>
    </row>
    <row r="92" spans="1:11" ht="12.75" customHeight="1" x14ac:dyDescent="0.25">
      <c r="A92" s="694" t="s">
        <v>1315</v>
      </c>
      <c r="B92" s="142"/>
      <c r="C92" s="526">
        <v>0</v>
      </c>
      <c r="D92" s="531">
        <v>0</v>
      </c>
      <c r="E92" s="329">
        <v>0</v>
      </c>
      <c r="F92" s="329">
        <v>0</v>
      </c>
      <c r="G92" s="329">
        <v>0</v>
      </c>
      <c r="H92" s="329">
        <f t="shared" si="34"/>
        <v>0</v>
      </c>
      <c r="I92" s="41">
        <f t="shared" si="36"/>
        <v>0</v>
      </c>
      <c r="J92" s="826" t="str">
        <f t="shared" si="37"/>
        <v/>
      </c>
      <c r="K92" s="517">
        <f t="shared" si="35"/>
        <v>0</v>
      </c>
    </row>
    <row r="93" spans="1:11" ht="12.75" customHeight="1" x14ac:dyDescent="0.25">
      <c r="A93" s="694" t="s">
        <v>448</v>
      </c>
      <c r="B93" s="142"/>
      <c r="C93" s="526">
        <v>0</v>
      </c>
      <c r="D93" s="531">
        <v>0</v>
      </c>
      <c r="E93" s="329">
        <v>0</v>
      </c>
      <c r="F93" s="329">
        <v>0</v>
      </c>
      <c r="G93" s="329">
        <v>0</v>
      </c>
      <c r="H93" s="329">
        <f t="shared" si="34"/>
        <v>0</v>
      </c>
      <c r="I93" s="41">
        <f t="shared" si="36"/>
        <v>0</v>
      </c>
      <c r="J93" s="826" t="str">
        <f t="shared" si="37"/>
        <v/>
      </c>
      <c r="K93" s="517">
        <f t="shared" si="35"/>
        <v>0</v>
      </c>
    </row>
    <row r="94" spans="1:11" ht="12.75" customHeight="1" x14ac:dyDescent="0.25">
      <c r="A94" s="694" t="s">
        <v>1316</v>
      </c>
      <c r="B94" s="142"/>
      <c r="C94" s="526">
        <v>0</v>
      </c>
      <c r="D94" s="531">
        <v>0</v>
      </c>
      <c r="E94" s="329">
        <v>0</v>
      </c>
      <c r="F94" s="329">
        <v>0</v>
      </c>
      <c r="G94" s="329">
        <v>0</v>
      </c>
      <c r="H94" s="329">
        <f t="shared" si="34"/>
        <v>0</v>
      </c>
      <c r="I94" s="41">
        <f t="shared" si="36"/>
        <v>0</v>
      </c>
      <c r="J94" s="826" t="str">
        <f t="shared" si="37"/>
        <v/>
      </c>
      <c r="K94" s="517">
        <f t="shared" si="35"/>
        <v>0</v>
      </c>
    </row>
    <row r="95" spans="1:11" ht="12.75" customHeight="1" x14ac:dyDescent="0.25">
      <c r="A95" s="694" t="s">
        <v>447</v>
      </c>
      <c r="B95" s="142"/>
      <c r="C95" s="526">
        <v>0</v>
      </c>
      <c r="D95" s="531">
        <v>0</v>
      </c>
      <c r="E95" s="329">
        <v>0</v>
      </c>
      <c r="F95" s="329">
        <v>0</v>
      </c>
      <c r="G95" s="329">
        <v>0</v>
      </c>
      <c r="H95" s="329">
        <f t="shared" si="34"/>
        <v>0</v>
      </c>
      <c r="I95" s="41">
        <f t="shared" si="36"/>
        <v>0</v>
      </c>
      <c r="J95" s="826" t="str">
        <f t="shared" si="37"/>
        <v/>
      </c>
      <c r="K95" s="517">
        <f t="shared" si="35"/>
        <v>0</v>
      </c>
    </row>
    <row r="96" spans="1:11" ht="12.75" customHeight="1" x14ac:dyDescent="0.25">
      <c r="A96" s="694" t="s">
        <v>1317</v>
      </c>
      <c r="B96" s="142"/>
      <c r="C96" s="526">
        <v>0</v>
      </c>
      <c r="D96" s="531">
        <v>0</v>
      </c>
      <c r="E96" s="329">
        <v>0</v>
      </c>
      <c r="F96" s="329">
        <v>0</v>
      </c>
      <c r="G96" s="329">
        <v>0</v>
      </c>
      <c r="H96" s="329">
        <f t="shared" si="34"/>
        <v>0</v>
      </c>
      <c r="I96" s="41">
        <f t="shared" si="36"/>
        <v>0</v>
      </c>
      <c r="J96" s="826" t="str">
        <f t="shared" si="37"/>
        <v/>
      </c>
      <c r="K96" s="517">
        <f t="shared" si="35"/>
        <v>0</v>
      </c>
    </row>
    <row r="97" spans="1:11" ht="12.75" customHeight="1" x14ac:dyDescent="0.25">
      <c r="A97" s="694" t="s">
        <v>1318</v>
      </c>
      <c r="B97" s="142"/>
      <c r="C97" s="526">
        <v>0</v>
      </c>
      <c r="D97" s="531">
        <v>0</v>
      </c>
      <c r="E97" s="329">
        <v>0</v>
      </c>
      <c r="F97" s="329">
        <v>0</v>
      </c>
      <c r="G97" s="329">
        <v>0</v>
      </c>
      <c r="H97" s="329">
        <f t="shared" si="34"/>
        <v>0</v>
      </c>
      <c r="I97" s="41">
        <f t="shared" si="36"/>
        <v>0</v>
      </c>
      <c r="J97" s="826" t="str">
        <f t="shared" si="37"/>
        <v/>
      </c>
      <c r="K97" s="517">
        <f t="shared" si="35"/>
        <v>0</v>
      </c>
    </row>
    <row r="98" spans="1:11" ht="12.75" customHeight="1" x14ac:dyDescent="0.25">
      <c r="A98" s="694" t="s">
        <v>1253</v>
      </c>
      <c r="B98" s="142"/>
      <c r="C98" s="526">
        <v>0</v>
      </c>
      <c r="D98" s="531">
        <v>350000</v>
      </c>
      <c r="E98" s="329">
        <v>350000</v>
      </c>
      <c r="F98" s="329">
        <v>0</v>
      </c>
      <c r="G98" s="329">
        <v>0</v>
      </c>
      <c r="H98" s="329">
        <f t="shared" si="34"/>
        <v>350000</v>
      </c>
      <c r="I98" s="41">
        <f t="shared" si="36"/>
        <v>350000</v>
      </c>
      <c r="J98" s="826">
        <f t="shared" si="37"/>
        <v>1</v>
      </c>
      <c r="K98" s="517">
        <f t="shared" si="35"/>
        <v>350000</v>
      </c>
    </row>
    <row r="99" spans="1:11" ht="12.75" customHeight="1" x14ac:dyDescent="0.25">
      <c r="A99" s="828" t="s">
        <v>1319</v>
      </c>
      <c r="B99" s="142"/>
      <c r="C99" s="111">
        <f t="shared" ref="C99:H99" si="38">SUM(C100:C102)</f>
        <v>0</v>
      </c>
      <c r="D99" s="43">
        <f t="shared" si="38"/>
        <v>8541405</v>
      </c>
      <c r="E99" s="41">
        <f t="shared" si="38"/>
        <v>583000</v>
      </c>
      <c r="F99" s="41">
        <f t="shared" si="38"/>
        <v>0</v>
      </c>
      <c r="G99" s="41">
        <f t="shared" si="38"/>
        <v>0</v>
      </c>
      <c r="H99" s="41">
        <f t="shared" si="38"/>
        <v>583000</v>
      </c>
      <c r="I99" s="221">
        <f t="shared" si="36"/>
        <v>583000</v>
      </c>
      <c r="J99" s="829">
        <f t="shared" si="37"/>
        <v>1</v>
      </c>
      <c r="K99" s="119">
        <f>SUM(K100:K102)</f>
        <v>583000</v>
      </c>
    </row>
    <row r="100" spans="1:11" ht="12.75" customHeight="1" x14ac:dyDescent="0.25">
      <c r="A100" s="694" t="s">
        <v>1320</v>
      </c>
      <c r="B100" s="142"/>
      <c r="C100" s="526">
        <v>0</v>
      </c>
      <c r="D100" s="531">
        <v>0</v>
      </c>
      <c r="E100" s="329">
        <v>0</v>
      </c>
      <c r="F100" s="329">
        <v>0</v>
      </c>
      <c r="G100" s="329">
        <v>0</v>
      </c>
      <c r="H100" s="329">
        <f t="shared" ref="H100:H102" si="39">E100/12*$L$1</f>
        <v>0</v>
      </c>
      <c r="I100" s="41">
        <f t="shared" si="36"/>
        <v>0</v>
      </c>
      <c r="J100" s="826" t="str">
        <f t="shared" si="37"/>
        <v/>
      </c>
      <c r="K100" s="517">
        <f>E100</f>
        <v>0</v>
      </c>
    </row>
    <row r="101" spans="1:11" ht="12.75" customHeight="1" x14ac:dyDescent="0.25">
      <c r="A101" s="694" t="s">
        <v>1321</v>
      </c>
      <c r="B101" s="142"/>
      <c r="C101" s="526">
        <v>0</v>
      </c>
      <c r="D101" s="531">
        <v>8541405</v>
      </c>
      <c r="E101" s="329">
        <v>583000</v>
      </c>
      <c r="F101" s="329">
        <v>0</v>
      </c>
      <c r="G101" s="329">
        <v>0</v>
      </c>
      <c r="H101" s="329">
        <f t="shared" si="39"/>
        <v>583000</v>
      </c>
      <c r="I101" s="41">
        <f t="shared" si="36"/>
        <v>583000</v>
      </c>
      <c r="J101" s="826">
        <f t="shared" si="37"/>
        <v>1</v>
      </c>
      <c r="K101" s="517">
        <f>E101</f>
        <v>583000</v>
      </c>
    </row>
    <row r="102" spans="1:11" ht="12.75" customHeight="1" x14ac:dyDescent="0.25">
      <c r="A102" s="694" t="s">
        <v>1253</v>
      </c>
      <c r="B102" s="142"/>
      <c r="C102" s="526">
        <v>0</v>
      </c>
      <c r="D102" s="531">
        <v>0</v>
      </c>
      <c r="E102" s="329">
        <v>0</v>
      </c>
      <c r="F102" s="329">
        <v>0</v>
      </c>
      <c r="G102" s="329">
        <v>0</v>
      </c>
      <c r="H102" s="329">
        <f t="shared" si="39"/>
        <v>0</v>
      </c>
      <c r="I102" s="41">
        <f t="shared" si="36"/>
        <v>0</v>
      </c>
      <c r="J102" s="826" t="str">
        <f t="shared" si="37"/>
        <v/>
      </c>
      <c r="K102" s="517">
        <f>E102</f>
        <v>0</v>
      </c>
    </row>
    <row r="103" spans="1:11" ht="5.0999999999999996" customHeight="1" x14ac:dyDescent="0.25">
      <c r="A103" s="39"/>
      <c r="B103" s="142"/>
      <c r="C103" s="111"/>
      <c r="D103" s="221"/>
      <c r="E103" s="41"/>
      <c r="F103" s="41"/>
      <c r="G103" s="41"/>
      <c r="H103" s="41"/>
      <c r="I103" s="41">
        <f>H103-G103</f>
        <v>0</v>
      </c>
      <c r="J103" s="826" t="str">
        <f>IF(I103=0,"",I103/H103)</f>
        <v/>
      </c>
      <c r="K103" s="119"/>
    </row>
    <row r="104" spans="1:11" ht="12.75" customHeight="1" x14ac:dyDescent="0.25">
      <c r="A104" s="32" t="s">
        <v>681</v>
      </c>
      <c r="B104" s="142"/>
      <c r="C104" s="212">
        <f t="shared" ref="C104:H104" si="40">SUM(C105:C109)</f>
        <v>0</v>
      </c>
      <c r="D104" s="831">
        <f t="shared" si="40"/>
        <v>0</v>
      </c>
      <c r="E104" s="85">
        <f t="shared" si="40"/>
        <v>0</v>
      </c>
      <c r="F104" s="85">
        <f t="shared" si="40"/>
        <v>0</v>
      </c>
      <c r="G104" s="85">
        <f t="shared" si="40"/>
        <v>0</v>
      </c>
      <c r="H104" s="85">
        <f t="shared" si="40"/>
        <v>0</v>
      </c>
      <c r="I104" s="85">
        <f t="shared" si="36"/>
        <v>0</v>
      </c>
      <c r="J104" s="832" t="str">
        <f t="shared" si="37"/>
        <v/>
      </c>
      <c r="K104" s="160">
        <f>SUM(K105:K109)</f>
        <v>0</v>
      </c>
    </row>
    <row r="105" spans="1:11" ht="12.75" customHeight="1" x14ac:dyDescent="0.25">
      <c r="A105" s="828" t="s">
        <v>1323</v>
      </c>
      <c r="B105" s="142"/>
      <c r="C105" s="548">
        <v>0</v>
      </c>
      <c r="D105" s="531">
        <v>0</v>
      </c>
      <c r="E105" s="329">
        <v>0</v>
      </c>
      <c r="F105" s="329">
        <v>0</v>
      </c>
      <c r="G105" s="329">
        <v>0</v>
      </c>
      <c r="H105" s="329">
        <f t="shared" ref="H105:H109" si="41">E105/12*$L$1</f>
        <v>0</v>
      </c>
      <c r="I105" s="41">
        <f t="shared" si="36"/>
        <v>0</v>
      </c>
      <c r="J105" s="826" t="str">
        <f t="shared" si="37"/>
        <v/>
      </c>
      <c r="K105" s="517">
        <f>E105</f>
        <v>0</v>
      </c>
    </row>
    <row r="106" spans="1:11" ht="12.75" customHeight="1" x14ac:dyDescent="0.25">
      <c r="A106" s="828" t="s">
        <v>1324</v>
      </c>
      <c r="B106" s="142"/>
      <c r="C106" s="548">
        <v>0</v>
      </c>
      <c r="D106" s="531">
        <v>0</v>
      </c>
      <c r="E106" s="329">
        <v>0</v>
      </c>
      <c r="F106" s="329">
        <v>0</v>
      </c>
      <c r="G106" s="329">
        <v>0</v>
      </c>
      <c r="H106" s="329">
        <f t="shared" si="41"/>
        <v>0</v>
      </c>
      <c r="I106" s="41">
        <f t="shared" si="36"/>
        <v>0</v>
      </c>
      <c r="J106" s="826" t="str">
        <f t="shared" si="37"/>
        <v/>
      </c>
      <c r="K106" s="517">
        <f>E106</f>
        <v>0</v>
      </c>
    </row>
    <row r="107" spans="1:11" ht="12.75" customHeight="1" x14ac:dyDescent="0.25">
      <c r="A107" s="828" t="s">
        <v>1325</v>
      </c>
      <c r="B107" s="142"/>
      <c r="C107" s="548">
        <v>0</v>
      </c>
      <c r="D107" s="531">
        <v>0</v>
      </c>
      <c r="E107" s="329">
        <v>0</v>
      </c>
      <c r="F107" s="329">
        <v>0</v>
      </c>
      <c r="G107" s="329">
        <v>0</v>
      </c>
      <c r="H107" s="329">
        <f t="shared" si="41"/>
        <v>0</v>
      </c>
      <c r="I107" s="41">
        <f t="shared" si="36"/>
        <v>0</v>
      </c>
      <c r="J107" s="826" t="str">
        <f t="shared" si="37"/>
        <v/>
      </c>
      <c r="K107" s="517">
        <f>E107</f>
        <v>0</v>
      </c>
    </row>
    <row r="108" spans="1:11" ht="12.75" customHeight="1" x14ac:dyDescent="0.25">
      <c r="A108" s="828" t="s">
        <v>1326</v>
      </c>
      <c r="B108" s="142"/>
      <c r="C108" s="548">
        <v>0</v>
      </c>
      <c r="D108" s="531">
        <v>0</v>
      </c>
      <c r="E108" s="329">
        <v>0</v>
      </c>
      <c r="F108" s="329">
        <v>0</v>
      </c>
      <c r="G108" s="329">
        <v>0</v>
      </c>
      <c r="H108" s="329">
        <f t="shared" si="41"/>
        <v>0</v>
      </c>
      <c r="I108" s="41">
        <f t="shared" si="36"/>
        <v>0</v>
      </c>
      <c r="J108" s="826" t="str">
        <f t="shared" si="37"/>
        <v/>
      </c>
      <c r="K108" s="517">
        <f>E108</f>
        <v>0</v>
      </c>
    </row>
    <row r="109" spans="1:11" ht="12.75" customHeight="1" x14ac:dyDescent="0.25">
      <c r="A109" s="828" t="s">
        <v>1327</v>
      </c>
      <c r="B109" s="142"/>
      <c r="C109" s="548">
        <v>0</v>
      </c>
      <c r="D109" s="531">
        <v>0</v>
      </c>
      <c r="E109" s="329">
        <v>0</v>
      </c>
      <c r="F109" s="329">
        <v>0</v>
      </c>
      <c r="G109" s="329">
        <v>0</v>
      </c>
      <c r="H109" s="329">
        <f t="shared" si="41"/>
        <v>0</v>
      </c>
      <c r="I109" s="41">
        <f t="shared" si="36"/>
        <v>0</v>
      </c>
      <c r="J109" s="826" t="str">
        <f t="shared" si="37"/>
        <v/>
      </c>
      <c r="K109" s="517">
        <f>E109</f>
        <v>0</v>
      </c>
    </row>
    <row r="110" spans="1:11" ht="5.0999999999999996" customHeight="1" x14ac:dyDescent="0.25">
      <c r="A110" s="39"/>
      <c r="B110" s="142"/>
      <c r="C110" s="111"/>
      <c r="D110" s="221"/>
      <c r="E110" s="41"/>
      <c r="F110" s="41"/>
      <c r="G110" s="41"/>
      <c r="H110" s="41"/>
      <c r="I110" s="41">
        <f t="shared" si="36"/>
        <v>0</v>
      </c>
      <c r="J110" s="826" t="str">
        <f t="shared" si="37"/>
        <v/>
      </c>
      <c r="K110" s="119"/>
    </row>
    <row r="111" spans="1:11" ht="12.75" customHeight="1" x14ac:dyDescent="0.25">
      <c r="A111" s="32" t="s">
        <v>682</v>
      </c>
      <c r="B111" s="35"/>
      <c r="C111" s="472">
        <f t="shared" ref="C111:H111" si="42">+C112+C115</f>
        <v>0</v>
      </c>
      <c r="D111" s="830">
        <f t="shared" si="42"/>
        <v>0</v>
      </c>
      <c r="E111" s="474">
        <f t="shared" si="42"/>
        <v>0</v>
      </c>
      <c r="F111" s="474">
        <f t="shared" si="42"/>
        <v>0</v>
      </c>
      <c r="G111" s="474">
        <f t="shared" si="42"/>
        <v>0</v>
      </c>
      <c r="H111" s="474">
        <f t="shared" si="42"/>
        <v>0</v>
      </c>
      <c r="I111" s="85">
        <f t="shared" si="36"/>
        <v>0</v>
      </c>
      <c r="J111" s="832" t="str">
        <f t="shared" si="37"/>
        <v/>
      </c>
      <c r="K111" s="476">
        <f>+K112+K115</f>
        <v>0</v>
      </c>
    </row>
    <row r="112" spans="1:11" ht="12.75" customHeight="1" x14ac:dyDescent="0.25">
      <c r="A112" s="828" t="s">
        <v>1328</v>
      </c>
      <c r="B112" s="142"/>
      <c r="C112" s="111">
        <f t="shared" ref="C112:H112" si="43">SUM(C113:C114)</f>
        <v>0</v>
      </c>
      <c r="D112" s="43">
        <f t="shared" si="43"/>
        <v>0</v>
      </c>
      <c r="E112" s="41">
        <f t="shared" si="43"/>
        <v>0</v>
      </c>
      <c r="F112" s="41">
        <f t="shared" si="43"/>
        <v>0</v>
      </c>
      <c r="G112" s="41">
        <f t="shared" si="43"/>
        <v>0</v>
      </c>
      <c r="H112" s="41">
        <f t="shared" si="43"/>
        <v>0</v>
      </c>
      <c r="I112" s="221">
        <f t="shared" si="36"/>
        <v>0</v>
      </c>
      <c r="J112" s="829" t="str">
        <f t="shared" si="37"/>
        <v/>
      </c>
      <c r="K112" s="119">
        <f>SUM(K113:K114)</f>
        <v>0</v>
      </c>
    </row>
    <row r="113" spans="1:12" ht="12.75" customHeight="1" x14ac:dyDescent="0.25">
      <c r="A113" s="694" t="s">
        <v>1329</v>
      </c>
      <c r="B113" s="142"/>
      <c r="C113" s="526">
        <v>0</v>
      </c>
      <c r="D113" s="531">
        <v>0</v>
      </c>
      <c r="E113" s="329">
        <v>0</v>
      </c>
      <c r="F113" s="329">
        <v>0</v>
      </c>
      <c r="G113" s="329">
        <v>0</v>
      </c>
      <c r="H113" s="329">
        <f t="shared" ref="H113:H114" si="44">E113/12*$L$1</f>
        <v>0</v>
      </c>
      <c r="I113" s="41">
        <f t="shared" si="36"/>
        <v>0</v>
      </c>
      <c r="J113" s="826" t="str">
        <f t="shared" si="37"/>
        <v/>
      </c>
      <c r="K113" s="517">
        <f>E113</f>
        <v>0</v>
      </c>
    </row>
    <row r="114" spans="1:12" ht="12.75" customHeight="1" x14ac:dyDescent="0.25">
      <c r="A114" s="694" t="s">
        <v>1330</v>
      </c>
      <c r="B114" s="142"/>
      <c r="C114" s="526">
        <v>0</v>
      </c>
      <c r="D114" s="531">
        <v>0</v>
      </c>
      <c r="E114" s="329">
        <v>0</v>
      </c>
      <c r="F114" s="329">
        <v>0</v>
      </c>
      <c r="G114" s="329">
        <v>0</v>
      </c>
      <c r="H114" s="329">
        <f t="shared" si="44"/>
        <v>0</v>
      </c>
      <c r="I114" s="41">
        <f t="shared" si="36"/>
        <v>0</v>
      </c>
      <c r="J114" s="826" t="str">
        <f t="shared" si="37"/>
        <v/>
      </c>
      <c r="K114" s="517">
        <f>E114</f>
        <v>0</v>
      </c>
    </row>
    <row r="115" spans="1:12" ht="12.75" customHeight="1" x14ac:dyDescent="0.25">
      <c r="A115" s="828" t="s">
        <v>1331</v>
      </c>
      <c r="B115" s="142"/>
      <c r="C115" s="111">
        <f t="shared" ref="C115:H115" si="45">SUM(C116:C117)</f>
        <v>0</v>
      </c>
      <c r="D115" s="43">
        <f t="shared" si="45"/>
        <v>0</v>
      </c>
      <c r="E115" s="41">
        <f t="shared" si="45"/>
        <v>0</v>
      </c>
      <c r="F115" s="41">
        <f t="shared" si="45"/>
        <v>0</v>
      </c>
      <c r="G115" s="41">
        <f t="shared" si="45"/>
        <v>0</v>
      </c>
      <c r="H115" s="41">
        <f t="shared" si="45"/>
        <v>0</v>
      </c>
      <c r="I115" s="221">
        <f t="shared" si="36"/>
        <v>0</v>
      </c>
      <c r="J115" s="829" t="str">
        <f t="shared" si="37"/>
        <v/>
      </c>
      <c r="K115" s="119">
        <f>SUM(K116:K117)</f>
        <v>0</v>
      </c>
    </row>
    <row r="116" spans="1:12" ht="12.75" customHeight="1" x14ac:dyDescent="0.25">
      <c r="A116" s="694" t="s">
        <v>1329</v>
      </c>
      <c r="B116" s="142"/>
      <c r="C116" s="526">
        <v>0</v>
      </c>
      <c r="D116" s="531">
        <v>0</v>
      </c>
      <c r="E116" s="329">
        <v>0</v>
      </c>
      <c r="F116" s="329">
        <v>0</v>
      </c>
      <c r="G116" s="329">
        <v>0</v>
      </c>
      <c r="H116" s="329">
        <f t="shared" ref="H116:H117" si="46">E116/12*$L$1</f>
        <v>0</v>
      </c>
      <c r="I116" s="41">
        <f t="shared" si="36"/>
        <v>0</v>
      </c>
      <c r="J116" s="826" t="str">
        <f t="shared" si="37"/>
        <v/>
      </c>
      <c r="K116" s="517">
        <f>E116</f>
        <v>0</v>
      </c>
    </row>
    <row r="117" spans="1:12" ht="12.75" customHeight="1" x14ac:dyDescent="0.25">
      <c r="A117" s="694" t="s">
        <v>1330</v>
      </c>
      <c r="B117" s="142"/>
      <c r="C117" s="526">
        <v>0</v>
      </c>
      <c r="D117" s="531">
        <v>0</v>
      </c>
      <c r="E117" s="329">
        <v>0</v>
      </c>
      <c r="F117" s="329">
        <v>0</v>
      </c>
      <c r="G117" s="329">
        <v>0</v>
      </c>
      <c r="H117" s="329">
        <f t="shared" si="46"/>
        <v>0</v>
      </c>
      <c r="I117" s="41">
        <f t="shared" si="36"/>
        <v>0</v>
      </c>
      <c r="J117" s="826" t="str">
        <f t="shared" si="37"/>
        <v/>
      </c>
      <c r="K117" s="517">
        <f>E117</f>
        <v>0</v>
      </c>
    </row>
    <row r="118" spans="1:12" ht="5.0999999999999996" customHeight="1" x14ac:dyDescent="0.25">
      <c r="A118" s="39"/>
      <c r="B118" s="142"/>
      <c r="C118" s="111"/>
      <c r="D118" s="221"/>
      <c r="E118" s="41"/>
      <c r="F118" s="41"/>
      <c r="G118" s="41"/>
      <c r="H118" s="41"/>
      <c r="I118" s="41">
        <f>H118-G118</f>
        <v>0</v>
      </c>
      <c r="J118" s="826" t="str">
        <f>IF(I118=0,"",I118/H118)</f>
        <v/>
      </c>
      <c r="K118" s="119"/>
    </row>
    <row r="119" spans="1:12" ht="12.75" customHeight="1" x14ac:dyDescent="0.25">
      <c r="A119" s="32" t="s">
        <v>683</v>
      </c>
      <c r="B119" s="142"/>
      <c r="C119" s="472">
        <f t="shared" ref="C119:H119" si="47">+C120+C132</f>
        <v>4262813.6899999995</v>
      </c>
      <c r="D119" s="830">
        <f t="shared" si="47"/>
        <v>1000000</v>
      </c>
      <c r="E119" s="474">
        <f t="shared" si="47"/>
        <v>22663366</v>
      </c>
      <c r="F119" s="474">
        <f t="shared" si="47"/>
        <v>968254.12</v>
      </c>
      <c r="G119" s="474">
        <f t="shared" si="47"/>
        <v>22733026.370000001</v>
      </c>
      <c r="H119" s="474">
        <f t="shared" si="47"/>
        <v>22663366</v>
      </c>
      <c r="I119" s="474">
        <f t="shared" si="36"/>
        <v>-69660.370000001043</v>
      </c>
      <c r="J119" s="827">
        <f t="shared" si="37"/>
        <v>-3.0736992024927383E-3</v>
      </c>
      <c r="K119" s="476">
        <f>+K120+K132</f>
        <v>22663366</v>
      </c>
    </row>
    <row r="120" spans="1:12" ht="12.75" customHeight="1" x14ac:dyDescent="0.25">
      <c r="A120" s="828" t="s">
        <v>1332</v>
      </c>
      <c r="B120" s="142"/>
      <c r="C120" s="111">
        <f t="shared" ref="C120:H120" si="48">SUM(C121:C131)</f>
        <v>4262813.6899999995</v>
      </c>
      <c r="D120" s="43">
        <f t="shared" si="48"/>
        <v>1000000</v>
      </c>
      <c r="E120" s="41">
        <f t="shared" si="48"/>
        <v>22663366</v>
      </c>
      <c r="F120" s="41">
        <f t="shared" si="48"/>
        <v>968254.12</v>
      </c>
      <c r="G120" s="41">
        <f t="shared" si="48"/>
        <v>22733026.370000001</v>
      </c>
      <c r="H120" s="41">
        <f t="shared" si="48"/>
        <v>22663366</v>
      </c>
      <c r="I120" s="221">
        <f t="shared" si="36"/>
        <v>-69660.370000001043</v>
      </c>
      <c r="J120" s="829">
        <f t="shared" si="37"/>
        <v>-3.0736992024927383E-3</v>
      </c>
      <c r="K120" s="119">
        <f>SUM(K121:K131)</f>
        <v>22663366</v>
      </c>
    </row>
    <row r="121" spans="1:12" ht="12.75" customHeight="1" x14ac:dyDescent="0.25">
      <c r="A121" s="694" t="s">
        <v>1333</v>
      </c>
      <c r="B121" s="142"/>
      <c r="C121" s="526">
        <v>4262813.6899999995</v>
      </c>
      <c r="D121" s="531">
        <v>800000</v>
      </c>
      <c r="E121" s="329">
        <v>22563366</v>
      </c>
      <c r="F121" s="329">
        <v>968254.12</v>
      </c>
      <c r="G121" s="329">
        <v>22733026.370000001</v>
      </c>
      <c r="H121" s="329">
        <f t="shared" ref="H121:H131" si="49">E121/12*$L$1</f>
        <v>22563366</v>
      </c>
      <c r="I121" s="41">
        <f t="shared" si="36"/>
        <v>-169660.37000000104</v>
      </c>
      <c r="J121" s="826">
        <f t="shared" si="37"/>
        <v>-7.5192845783736808E-3</v>
      </c>
      <c r="K121" s="517">
        <f t="shared" ref="K121:K131" si="50">E121</f>
        <v>22563366</v>
      </c>
      <c r="L121" s="40"/>
    </row>
    <row r="122" spans="1:12" ht="12.75" customHeight="1" x14ac:dyDescent="0.25">
      <c r="A122" s="694" t="s">
        <v>1334</v>
      </c>
      <c r="B122" s="142"/>
      <c r="C122" s="526">
        <v>0</v>
      </c>
      <c r="D122" s="531">
        <v>0</v>
      </c>
      <c r="E122" s="329">
        <v>0</v>
      </c>
      <c r="F122" s="329">
        <v>0</v>
      </c>
      <c r="G122" s="329">
        <v>0</v>
      </c>
      <c r="H122" s="329">
        <f t="shared" si="49"/>
        <v>0</v>
      </c>
      <c r="I122" s="41">
        <f t="shared" si="36"/>
        <v>0</v>
      </c>
      <c r="J122" s="826" t="str">
        <f t="shared" ref="J122:J148" si="51">IF(I122=0,"",I122/H122)</f>
        <v/>
      </c>
      <c r="K122" s="517">
        <f t="shared" si="50"/>
        <v>0</v>
      </c>
    </row>
    <row r="123" spans="1:12" ht="12.75" customHeight="1" x14ac:dyDescent="0.25">
      <c r="A123" s="694" t="s">
        <v>1335</v>
      </c>
      <c r="B123" s="142"/>
      <c r="C123" s="526">
        <v>0</v>
      </c>
      <c r="D123" s="531">
        <v>0</v>
      </c>
      <c r="E123" s="329">
        <v>0</v>
      </c>
      <c r="F123" s="329">
        <v>0</v>
      </c>
      <c r="G123" s="329">
        <v>0</v>
      </c>
      <c r="H123" s="329">
        <f t="shared" si="49"/>
        <v>0</v>
      </c>
      <c r="I123" s="41">
        <f t="shared" si="36"/>
        <v>0</v>
      </c>
      <c r="J123" s="826" t="str">
        <f t="shared" si="51"/>
        <v/>
      </c>
      <c r="K123" s="517">
        <f t="shared" si="50"/>
        <v>0</v>
      </c>
    </row>
    <row r="124" spans="1:12" ht="12.75" customHeight="1" x14ac:dyDescent="0.25">
      <c r="A124" s="694" t="s">
        <v>1336</v>
      </c>
      <c r="B124" s="142"/>
      <c r="C124" s="526">
        <v>0</v>
      </c>
      <c r="D124" s="531">
        <v>0</v>
      </c>
      <c r="E124" s="329">
        <v>0</v>
      </c>
      <c r="F124" s="329">
        <v>0</v>
      </c>
      <c r="G124" s="329">
        <v>0</v>
      </c>
      <c r="H124" s="329">
        <f t="shared" si="49"/>
        <v>0</v>
      </c>
      <c r="I124" s="41">
        <f t="shared" si="36"/>
        <v>0</v>
      </c>
      <c r="J124" s="826" t="str">
        <f t="shared" si="51"/>
        <v/>
      </c>
      <c r="K124" s="517">
        <f t="shared" si="50"/>
        <v>0</v>
      </c>
    </row>
    <row r="125" spans="1:12" ht="12.75" customHeight="1" x14ac:dyDescent="0.25">
      <c r="A125" s="694" t="s">
        <v>1337</v>
      </c>
      <c r="B125" s="142"/>
      <c r="C125" s="526">
        <v>0</v>
      </c>
      <c r="D125" s="531">
        <v>0</v>
      </c>
      <c r="E125" s="329">
        <v>0</v>
      </c>
      <c r="F125" s="329">
        <v>0</v>
      </c>
      <c r="G125" s="329">
        <v>0</v>
      </c>
      <c r="H125" s="329">
        <f t="shared" si="49"/>
        <v>0</v>
      </c>
      <c r="I125" s="41">
        <f t="shared" si="36"/>
        <v>0</v>
      </c>
      <c r="J125" s="826" t="str">
        <f t="shared" si="51"/>
        <v/>
      </c>
      <c r="K125" s="517">
        <f t="shared" si="50"/>
        <v>0</v>
      </c>
    </row>
    <row r="126" spans="1:12" ht="12.75" customHeight="1" x14ac:dyDescent="0.25">
      <c r="A126" s="694" t="s">
        <v>1338</v>
      </c>
      <c r="B126" s="142"/>
      <c r="C126" s="526">
        <v>0</v>
      </c>
      <c r="D126" s="531">
        <v>0</v>
      </c>
      <c r="E126" s="329">
        <v>0</v>
      </c>
      <c r="F126" s="329">
        <v>0</v>
      </c>
      <c r="G126" s="329">
        <v>0</v>
      </c>
      <c r="H126" s="329">
        <f t="shared" si="49"/>
        <v>0</v>
      </c>
      <c r="I126" s="41">
        <f t="shared" si="36"/>
        <v>0</v>
      </c>
      <c r="J126" s="826" t="str">
        <f t="shared" si="51"/>
        <v/>
      </c>
      <c r="K126" s="517">
        <f t="shared" si="50"/>
        <v>0</v>
      </c>
    </row>
    <row r="127" spans="1:12" ht="12.75" customHeight="1" x14ac:dyDescent="0.25">
      <c r="A127" s="694" t="s">
        <v>1339</v>
      </c>
      <c r="B127" s="142"/>
      <c r="C127" s="526">
        <v>0</v>
      </c>
      <c r="D127" s="531">
        <v>0</v>
      </c>
      <c r="E127" s="329">
        <v>0</v>
      </c>
      <c r="F127" s="329">
        <v>0</v>
      </c>
      <c r="G127" s="329">
        <v>0</v>
      </c>
      <c r="H127" s="329">
        <f t="shared" si="49"/>
        <v>0</v>
      </c>
      <c r="I127" s="41">
        <f t="shared" si="36"/>
        <v>0</v>
      </c>
      <c r="J127" s="826" t="str">
        <f t="shared" si="51"/>
        <v/>
      </c>
      <c r="K127" s="517">
        <f t="shared" si="50"/>
        <v>0</v>
      </c>
    </row>
    <row r="128" spans="1:12" ht="12.75" customHeight="1" x14ac:dyDescent="0.25">
      <c r="A128" s="694" t="s">
        <v>1340</v>
      </c>
      <c r="B128" s="142"/>
      <c r="C128" s="526">
        <v>0</v>
      </c>
      <c r="D128" s="531">
        <v>0</v>
      </c>
      <c r="E128" s="329">
        <v>0</v>
      </c>
      <c r="F128" s="329">
        <v>0</v>
      </c>
      <c r="G128" s="329">
        <v>0</v>
      </c>
      <c r="H128" s="329">
        <f t="shared" si="49"/>
        <v>0</v>
      </c>
      <c r="I128" s="41">
        <f t="shared" si="36"/>
        <v>0</v>
      </c>
      <c r="J128" s="826" t="str">
        <f t="shared" si="51"/>
        <v/>
      </c>
      <c r="K128" s="517">
        <f t="shared" si="50"/>
        <v>0</v>
      </c>
    </row>
    <row r="129" spans="1:11" ht="12.75" customHeight="1" x14ac:dyDescent="0.25">
      <c r="A129" s="694" t="s">
        <v>1341</v>
      </c>
      <c r="B129" s="142"/>
      <c r="C129" s="526">
        <v>0</v>
      </c>
      <c r="D129" s="531">
        <v>200000</v>
      </c>
      <c r="E129" s="329">
        <v>100000</v>
      </c>
      <c r="F129" s="329">
        <v>0</v>
      </c>
      <c r="G129" s="329">
        <v>0</v>
      </c>
      <c r="H129" s="329">
        <f t="shared" si="49"/>
        <v>100000</v>
      </c>
      <c r="I129" s="41">
        <f t="shared" si="36"/>
        <v>100000</v>
      </c>
      <c r="J129" s="826">
        <f t="shared" si="51"/>
        <v>1</v>
      </c>
      <c r="K129" s="517">
        <f t="shared" si="50"/>
        <v>100000</v>
      </c>
    </row>
    <row r="130" spans="1:11" ht="12.75" customHeight="1" x14ac:dyDescent="0.25">
      <c r="A130" s="694" t="s">
        <v>1342</v>
      </c>
      <c r="B130" s="142"/>
      <c r="C130" s="526">
        <v>0</v>
      </c>
      <c r="D130" s="531">
        <v>0</v>
      </c>
      <c r="E130" s="329">
        <v>0</v>
      </c>
      <c r="F130" s="329">
        <v>0</v>
      </c>
      <c r="G130" s="329">
        <v>0</v>
      </c>
      <c r="H130" s="329">
        <f t="shared" si="49"/>
        <v>0</v>
      </c>
      <c r="I130" s="41">
        <f t="shared" si="36"/>
        <v>0</v>
      </c>
      <c r="J130" s="826" t="str">
        <f t="shared" si="51"/>
        <v/>
      </c>
      <c r="K130" s="517">
        <f t="shared" si="50"/>
        <v>0</v>
      </c>
    </row>
    <row r="131" spans="1:11" ht="12.75" customHeight="1" x14ac:dyDescent="0.25">
      <c r="A131" s="694" t="s">
        <v>1253</v>
      </c>
      <c r="B131" s="142"/>
      <c r="C131" s="526">
        <v>0</v>
      </c>
      <c r="D131" s="531">
        <v>0</v>
      </c>
      <c r="E131" s="329">
        <v>0</v>
      </c>
      <c r="F131" s="329">
        <v>0</v>
      </c>
      <c r="G131" s="329">
        <v>0</v>
      </c>
      <c r="H131" s="329">
        <f t="shared" si="49"/>
        <v>0</v>
      </c>
      <c r="I131" s="41">
        <f t="shared" si="36"/>
        <v>0</v>
      </c>
      <c r="J131" s="826" t="str">
        <f t="shared" si="51"/>
        <v/>
      </c>
      <c r="K131" s="517">
        <f t="shared" si="50"/>
        <v>0</v>
      </c>
    </row>
    <row r="132" spans="1:11" ht="12.75" customHeight="1" x14ac:dyDescent="0.25">
      <c r="A132" s="828" t="s">
        <v>724</v>
      </c>
      <c r="B132" s="142"/>
      <c r="C132" s="111">
        <f t="shared" ref="C132:H132" si="52">SUM(C133:C135)</f>
        <v>0</v>
      </c>
      <c r="D132" s="43">
        <f t="shared" si="52"/>
        <v>0</v>
      </c>
      <c r="E132" s="41">
        <f t="shared" si="52"/>
        <v>0</v>
      </c>
      <c r="F132" s="41">
        <f t="shared" si="52"/>
        <v>0</v>
      </c>
      <c r="G132" s="41">
        <f t="shared" si="52"/>
        <v>0</v>
      </c>
      <c r="H132" s="41">
        <f t="shared" si="52"/>
        <v>0</v>
      </c>
      <c r="I132" s="221">
        <f t="shared" si="36"/>
        <v>0</v>
      </c>
      <c r="J132" s="829" t="str">
        <f t="shared" si="51"/>
        <v/>
      </c>
      <c r="K132" s="119">
        <f>SUM(K133:K135)</f>
        <v>0</v>
      </c>
    </row>
    <row r="133" spans="1:11" ht="12.75" customHeight="1" x14ac:dyDescent="0.25">
      <c r="A133" s="694" t="s">
        <v>1343</v>
      </c>
      <c r="B133" s="142"/>
      <c r="C133" s="526">
        <v>0</v>
      </c>
      <c r="D133" s="531">
        <v>0</v>
      </c>
      <c r="E133" s="329">
        <v>0</v>
      </c>
      <c r="F133" s="329">
        <v>0</v>
      </c>
      <c r="G133" s="329">
        <v>0</v>
      </c>
      <c r="H133" s="329">
        <f t="shared" ref="H133:H135" si="53">E133/12*$L$1</f>
        <v>0</v>
      </c>
      <c r="I133" s="41">
        <f t="shared" si="36"/>
        <v>0</v>
      </c>
      <c r="J133" s="826" t="str">
        <f t="shared" si="51"/>
        <v/>
      </c>
      <c r="K133" s="517">
        <f>E133</f>
        <v>0</v>
      </c>
    </row>
    <row r="134" spans="1:11" ht="12.75" customHeight="1" x14ac:dyDescent="0.25">
      <c r="A134" s="694" t="s">
        <v>1344</v>
      </c>
      <c r="B134" s="142"/>
      <c r="C134" s="526">
        <v>0</v>
      </c>
      <c r="D134" s="531">
        <v>0</v>
      </c>
      <c r="E134" s="329">
        <v>0</v>
      </c>
      <c r="F134" s="329">
        <v>0</v>
      </c>
      <c r="G134" s="329">
        <v>0</v>
      </c>
      <c r="H134" s="329">
        <f t="shared" si="53"/>
        <v>0</v>
      </c>
      <c r="I134" s="41">
        <f t="shared" si="36"/>
        <v>0</v>
      </c>
      <c r="J134" s="826" t="str">
        <f t="shared" si="51"/>
        <v/>
      </c>
      <c r="K134" s="517">
        <f>E134</f>
        <v>0</v>
      </c>
    </row>
    <row r="135" spans="1:11" ht="12.75" customHeight="1" x14ac:dyDescent="0.25">
      <c r="A135" s="694" t="s">
        <v>1253</v>
      </c>
      <c r="B135" s="142"/>
      <c r="C135" s="526">
        <v>0</v>
      </c>
      <c r="D135" s="531">
        <v>0</v>
      </c>
      <c r="E135" s="329">
        <v>0</v>
      </c>
      <c r="F135" s="329">
        <v>0</v>
      </c>
      <c r="G135" s="329">
        <v>0</v>
      </c>
      <c r="H135" s="329">
        <f t="shared" si="53"/>
        <v>0</v>
      </c>
      <c r="I135" s="41">
        <f t="shared" si="36"/>
        <v>0</v>
      </c>
      <c r="J135" s="826" t="str">
        <f t="shared" si="51"/>
        <v/>
      </c>
      <c r="K135" s="517">
        <f>E135</f>
        <v>0</v>
      </c>
    </row>
    <row r="136" spans="1:11" ht="5.0999999999999996" customHeight="1" x14ac:dyDescent="0.25">
      <c r="A136" s="828"/>
      <c r="B136" s="142"/>
      <c r="C136" s="111"/>
      <c r="D136" s="221"/>
      <c r="E136" s="41"/>
      <c r="F136" s="41"/>
      <c r="G136" s="41"/>
      <c r="H136" s="41"/>
      <c r="I136" s="41"/>
      <c r="J136" s="826" t="str">
        <f t="shared" si="51"/>
        <v/>
      </c>
      <c r="K136" s="119"/>
    </row>
    <row r="137" spans="1:11" ht="12.75" customHeight="1" x14ac:dyDescent="0.25">
      <c r="A137" s="32" t="s">
        <v>1345</v>
      </c>
      <c r="B137" s="142"/>
      <c r="C137" s="472">
        <f t="shared" ref="C137:H137" si="54">SUM(C138:C138)</f>
        <v>0</v>
      </c>
      <c r="D137" s="830">
        <f t="shared" si="54"/>
        <v>0</v>
      </c>
      <c r="E137" s="474">
        <f t="shared" si="54"/>
        <v>0</v>
      </c>
      <c r="F137" s="474">
        <f t="shared" si="54"/>
        <v>0</v>
      </c>
      <c r="G137" s="474">
        <f t="shared" si="54"/>
        <v>0</v>
      </c>
      <c r="H137" s="474">
        <f t="shared" si="54"/>
        <v>0</v>
      </c>
      <c r="I137" s="474">
        <f>H137-G137</f>
        <v>0</v>
      </c>
      <c r="J137" s="832" t="str">
        <f t="shared" si="51"/>
        <v/>
      </c>
      <c r="K137" s="476">
        <f>SUM(K138)</f>
        <v>0</v>
      </c>
    </row>
    <row r="138" spans="1:11" ht="12.75" customHeight="1" x14ac:dyDescent="0.25">
      <c r="A138" s="828" t="s">
        <v>1345</v>
      </c>
      <c r="B138" s="142"/>
      <c r="C138" s="526">
        <v>0</v>
      </c>
      <c r="D138" s="531">
        <v>0</v>
      </c>
      <c r="E138" s="329">
        <v>0</v>
      </c>
      <c r="F138" s="329">
        <v>0</v>
      </c>
      <c r="G138" s="329">
        <v>0</v>
      </c>
      <c r="H138" s="329">
        <f>E138/12*$L$1</f>
        <v>0</v>
      </c>
      <c r="I138" s="41">
        <f>H138-G138</f>
        <v>0</v>
      </c>
      <c r="J138" s="826" t="str">
        <f t="shared" si="51"/>
        <v/>
      </c>
      <c r="K138" s="517">
        <f>E138</f>
        <v>0</v>
      </c>
    </row>
    <row r="139" spans="1:11" ht="5.0999999999999996" customHeight="1" x14ac:dyDescent="0.25">
      <c r="A139" s="39"/>
      <c r="B139" s="142"/>
      <c r="C139" s="111"/>
      <c r="D139" s="221"/>
      <c r="E139" s="41"/>
      <c r="F139" s="41"/>
      <c r="G139" s="41"/>
      <c r="H139" s="41"/>
      <c r="I139" s="41"/>
      <c r="J139" s="826" t="str">
        <f t="shared" si="51"/>
        <v/>
      </c>
      <c r="K139" s="119"/>
    </row>
    <row r="140" spans="1:11" ht="12.75" customHeight="1" x14ac:dyDescent="0.25">
      <c r="A140" s="32" t="s">
        <v>1346</v>
      </c>
      <c r="B140" s="142"/>
      <c r="C140" s="472">
        <f>SUM(C141:C142)</f>
        <v>0</v>
      </c>
      <c r="D140" s="830">
        <f>+D141+D142</f>
        <v>1195000</v>
      </c>
      <c r="E140" s="474">
        <f>+E141+E142</f>
        <v>3545000</v>
      </c>
      <c r="F140" s="474">
        <f>SUM(F141:F142)</f>
        <v>0</v>
      </c>
      <c r="G140" s="474">
        <f>SUM(G141:G142)</f>
        <v>1950109.96</v>
      </c>
      <c r="H140" s="474">
        <f>SUM(H141:H142)</f>
        <v>3545000</v>
      </c>
      <c r="I140" s="474">
        <f t="shared" ref="I140:I148" si="55">H140-G140</f>
        <v>1594890.04</v>
      </c>
      <c r="J140" s="832">
        <f t="shared" si="51"/>
        <v>0.44989845980253879</v>
      </c>
      <c r="K140" s="476">
        <f>SUM(K141:K142)</f>
        <v>3545000</v>
      </c>
    </row>
    <row r="141" spans="1:11" ht="12.75" customHeight="1" x14ac:dyDescent="0.25">
      <c r="A141" s="828" t="s">
        <v>1347</v>
      </c>
      <c r="B141" s="142"/>
      <c r="C141" s="526">
        <v>0</v>
      </c>
      <c r="D141" s="531">
        <v>0</v>
      </c>
      <c r="E141" s="329">
        <v>0</v>
      </c>
      <c r="F141" s="329">
        <v>0</v>
      </c>
      <c r="G141" s="329">
        <v>0</v>
      </c>
      <c r="H141" s="329">
        <f>E141/12*$L$1</f>
        <v>0</v>
      </c>
      <c r="I141" s="41">
        <f t="shared" si="55"/>
        <v>0</v>
      </c>
      <c r="J141" s="826" t="str">
        <f t="shared" si="51"/>
        <v/>
      </c>
      <c r="K141" s="517">
        <f>E141</f>
        <v>0</v>
      </c>
    </row>
    <row r="142" spans="1:11" ht="12.75" customHeight="1" x14ac:dyDescent="0.25">
      <c r="A142" s="828" t="s">
        <v>1348</v>
      </c>
      <c r="B142" s="142"/>
      <c r="C142" s="111">
        <f t="shared" ref="C142:H142" si="56">SUM(C143:C148)</f>
        <v>0</v>
      </c>
      <c r="D142" s="43">
        <f t="shared" si="56"/>
        <v>1195000</v>
      </c>
      <c r="E142" s="41">
        <f t="shared" si="56"/>
        <v>3545000</v>
      </c>
      <c r="F142" s="41">
        <f t="shared" si="56"/>
        <v>0</v>
      </c>
      <c r="G142" s="41">
        <f t="shared" si="56"/>
        <v>1950109.96</v>
      </c>
      <c r="H142" s="41">
        <f t="shared" si="56"/>
        <v>3545000</v>
      </c>
      <c r="I142" s="221">
        <f t="shared" si="55"/>
        <v>1594890.04</v>
      </c>
      <c r="J142" s="829">
        <f t="shared" si="51"/>
        <v>0.44989845980253879</v>
      </c>
      <c r="K142" s="119">
        <f>SUM(K143:K148)</f>
        <v>3545000</v>
      </c>
    </row>
    <row r="143" spans="1:11" ht="12.75" customHeight="1" x14ac:dyDescent="0.25">
      <c r="A143" s="694" t="s">
        <v>1349</v>
      </c>
      <c r="B143" s="142"/>
      <c r="C143" s="526">
        <v>0</v>
      </c>
      <c r="D143" s="531">
        <v>0</v>
      </c>
      <c r="E143" s="329">
        <v>0</v>
      </c>
      <c r="F143" s="329">
        <v>0</v>
      </c>
      <c r="G143" s="329">
        <v>0</v>
      </c>
      <c r="H143" s="329">
        <f t="shared" ref="H143:H148" si="57">E143/12*$L$1</f>
        <v>0</v>
      </c>
      <c r="I143" s="41">
        <f t="shared" si="55"/>
        <v>0</v>
      </c>
      <c r="J143" s="826" t="str">
        <f t="shared" si="51"/>
        <v/>
      </c>
      <c r="K143" s="517">
        <f t="shared" ref="K143:K148" si="58">E143</f>
        <v>0</v>
      </c>
    </row>
    <row r="144" spans="1:11" ht="12.75" customHeight="1" x14ac:dyDescent="0.25">
      <c r="A144" s="694" t="s">
        <v>1350</v>
      </c>
      <c r="B144" s="142"/>
      <c r="C144" s="526">
        <v>0</v>
      </c>
      <c r="D144" s="531">
        <v>0</v>
      </c>
      <c r="E144" s="329">
        <v>0</v>
      </c>
      <c r="F144" s="329">
        <v>0</v>
      </c>
      <c r="G144" s="329">
        <v>0</v>
      </c>
      <c r="H144" s="329">
        <f t="shared" si="57"/>
        <v>0</v>
      </c>
      <c r="I144" s="41">
        <f t="shared" si="55"/>
        <v>0</v>
      </c>
      <c r="J144" s="826" t="str">
        <f t="shared" si="51"/>
        <v/>
      </c>
      <c r="K144" s="517">
        <f t="shared" si="58"/>
        <v>0</v>
      </c>
    </row>
    <row r="145" spans="1:12" ht="12.75" customHeight="1" x14ac:dyDescent="0.25">
      <c r="A145" s="694" t="s">
        <v>1351</v>
      </c>
      <c r="B145" s="142"/>
      <c r="C145" s="526">
        <v>0</v>
      </c>
      <c r="D145" s="531">
        <v>0</v>
      </c>
      <c r="E145" s="329">
        <v>0</v>
      </c>
      <c r="F145" s="329">
        <v>0</v>
      </c>
      <c r="G145" s="329">
        <v>0</v>
      </c>
      <c r="H145" s="329">
        <f t="shared" si="57"/>
        <v>0</v>
      </c>
      <c r="I145" s="41">
        <f t="shared" si="55"/>
        <v>0</v>
      </c>
      <c r="J145" s="826" t="str">
        <f t="shared" si="51"/>
        <v/>
      </c>
      <c r="K145" s="517">
        <f t="shared" si="58"/>
        <v>0</v>
      </c>
    </row>
    <row r="146" spans="1:12" ht="12.75" customHeight="1" x14ac:dyDescent="0.25">
      <c r="A146" s="694" t="s">
        <v>1352</v>
      </c>
      <c r="B146" s="142"/>
      <c r="C146" s="526">
        <v>0</v>
      </c>
      <c r="D146" s="531">
        <v>1195000</v>
      </c>
      <c r="E146" s="329">
        <v>3545000</v>
      </c>
      <c r="F146" s="329">
        <v>0</v>
      </c>
      <c r="G146" s="329">
        <v>1950109.96</v>
      </c>
      <c r="H146" s="329">
        <f t="shared" si="57"/>
        <v>3545000</v>
      </c>
      <c r="I146" s="41">
        <f t="shared" si="55"/>
        <v>1594890.04</v>
      </c>
      <c r="J146" s="826">
        <f t="shared" si="51"/>
        <v>0.44989845980253879</v>
      </c>
      <c r="K146" s="517">
        <f t="shared" si="58"/>
        <v>3545000</v>
      </c>
    </row>
    <row r="147" spans="1:12" ht="12.75" customHeight="1" x14ac:dyDescent="0.25">
      <c r="A147" s="694" t="s">
        <v>1353</v>
      </c>
      <c r="B147" s="142"/>
      <c r="C147" s="526">
        <v>0</v>
      </c>
      <c r="D147" s="531">
        <v>0</v>
      </c>
      <c r="E147" s="329">
        <v>0</v>
      </c>
      <c r="F147" s="329">
        <v>0</v>
      </c>
      <c r="G147" s="329">
        <v>0</v>
      </c>
      <c r="H147" s="329">
        <f t="shared" si="57"/>
        <v>0</v>
      </c>
      <c r="I147" s="41">
        <f t="shared" si="55"/>
        <v>0</v>
      </c>
      <c r="J147" s="826" t="str">
        <f t="shared" si="51"/>
        <v/>
      </c>
      <c r="K147" s="517">
        <f t="shared" si="58"/>
        <v>0</v>
      </c>
    </row>
    <row r="148" spans="1:12" ht="12.75" customHeight="1" x14ac:dyDescent="0.25">
      <c r="A148" s="694" t="s">
        <v>1354</v>
      </c>
      <c r="B148" s="142"/>
      <c r="C148" s="526">
        <v>0</v>
      </c>
      <c r="D148" s="531">
        <v>0</v>
      </c>
      <c r="E148" s="329">
        <v>0</v>
      </c>
      <c r="F148" s="329">
        <v>0</v>
      </c>
      <c r="G148" s="329">
        <v>0</v>
      </c>
      <c r="H148" s="329">
        <f t="shared" si="57"/>
        <v>0</v>
      </c>
      <c r="I148" s="41">
        <f t="shared" si="55"/>
        <v>0</v>
      </c>
      <c r="J148" s="826" t="str">
        <f t="shared" si="51"/>
        <v/>
      </c>
      <c r="K148" s="517">
        <f t="shared" si="58"/>
        <v>0</v>
      </c>
    </row>
    <row r="149" spans="1:12" ht="5.25" customHeight="1" x14ac:dyDescent="0.25">
      <c r="A149" s="39"/>
      <c r="B149" s="142"/>
      <c r="C149" s="833"/>
      <c r="D149" s="834"/>
      <c r="E149" s="419"/>
      <c r="F149" s="419"/>
      <c r="G149" s="419"/>
      <c r="H149" s="419"/>
      <c r="I149" s="41"/>
      <c r="J149" s="826"/>
      <c r="K149" s="420"/>
    </row>
    <row r="150" spans="1:12" ht="12.75" customHeight="1" x14ac:dyDescent="0.25">
      <c r="A150" s="32" t="s">
        <v>1355</v>
      </c>
      <c r="B150" s="142"/>
      <c r="C150" s="472">
        <f t="shared" ref="C150:H150" si="59">SUM(C151:C151)</f>
        <v>330375.99</v>
      </c>
      <c r="D150" s="830">
        <f t="shared" si="59"/>
        <v>582000</v>
      </c>
      <c r="E150" s="474">
        <f t="shared" si="59"/>
        <v>1720000</v>
      </c>
      <c r="F150" s="474">
        <f t="shared" si="59"/>
        <v>0</v>
      </c>
      <c r="G150" s="474">
        <f t="shared" si="59"/>
        <v>58920.4</v>
      </c>
      <c r="H150" s="474">
        <f t="shared" si="59"/>
        <v>1720000</v>
      </c>
      <c r="I150" s="474">
        <f>H150-G150</f>
        <v>1661079.6</v>
      </c>
      <c r="J150" s="832">
        <f>IF(I150=0,"",I150/H150)</f>
        <v>0.96574395348837216</v>
      </c>
      <c r="K150" s="476">
        <f>SUM(K151)</f>
        <v>1720000</v>
      </c>
    </row>
    <row r="151" spans="1:12" ht="12.75" customHeight="1" x14ac:dyDescent="0.25">
      <c r="A151" s="828" t="s">
        <v>1355</v>
      </c>
      <c r="B151" s="142"/>
      <c r="C151" s="526">
        <v>330375.99</v>
      </c>
      <c r="D151" s="531">
        <v>582000</v>
      </c>
      <c r="E151" s="329">
        <v>1720000</v>
      </c>
      <c r="F151" s="329">
        <v>0</v>
      </c>
      <c r="G151" s="329">
        <v>58920.4</v>
      </c>
      <c r="H151" s="329">
        <f>E151/12*$L$1</f>
        <v>1720000</v>
      </c>
      <c r="I151" s="41">
        <f>H151-G151</f>
        <v>1661079.6</v>
      </c>
      <c r="J151" s="826">
        <f>IF(I151=0,"",I151/H151)</f>
        <v>0.96574395348837216</v>
      </c>
      <c r="K151" s="517">
        <f>E151</f>
        <v>1720000</v>
      </c>
    </row>
    <row r="152" spans="1:12" ht="5.0999999999999996" customHeight="1" x14ac:dyDescent="0.25">
      <c r="A152" s="39"/>
      <c r="B152" s="142"/>
      <c r="C152" s="111"/>
      <c r="D152" s="221"/>
      <c r="E152" s="41"/>
      <c r="F152" s="41"/>
      <c r="G152" s="41"/>
      <c r="H152" s="41"/>
      <c r="I152" s="41"/>
      <c r="J152" s="826"/>
      <c r="K152" s="119"/>
    </row>
    <row r="153" spans="1:12" ht="12.75" customHeight="1" x14ac:dyDescent="0.25">
      <c r="A153" s="32" t="s">
        <v>1356</v>
      </c>
      <c r="B153" s="142"/>
      <c r="C153" s="472">
        <f t="shared" ref="C153:H153" si="60">SUM(C154:C154)</f>
        <v>616040.44999999995</v>
      </c>
      <c r="D153" s="830">
        <f t="shared" si="60"/>
        <v>1238000</v>
      </c>
      <c r="E153" s="474">
        <f t="shared" si="60"/>
        <v>607625</v>
      </c>
      <c r="F153" s="474">
        <f t="shared" si="60"/>
        <v>32713.42</v>
      </c>
      <c r="G153" s="474">
        <f t="shared" si="60"/>
        <v>74503.270000000019</v>
      </c>
      <c r="H153" s="474">
        <f t="shared" si="60"/>
        <v>607625</v>
      </c>
      <c r="I153" s="474">
        <f>H153-G153</f>
        <v>533121.73</v>
      </c>
      <c r="J153" s="832">
        <f>IF(I153=0,"",I153/H153)</f>
        <v>0.87738610162517994</v>
      </c>
      <c r="K153" s="476">
        <f>SUM(K154)</f>
        <v>607625</v>
      </c>
    </row>
    <row r="154" spans="1:12" ht="12.75" customHeight="1" x14ac:dyDescent="0.25">
      <c r="A154" s="828" t="s">
        <v>1356</v>
      </c>
      <c r="B154" s="142"/>
      <c r="C154" s="526">
        <v>616040.44999999995</v>
      </c>
      <c r="D154" s="531">
        <v>1238000</v>
      </c>
      <c r="E154" s="329">
        <v>607625</v>
      </c>
      <c r="F154" s="329">
        <v>32713.42</v>
      </c>
      <c r="G154" s="329">
        <v>74503.270000000019</v>
      </c>
      <c r="H154" s="329">
        <f>E154/12*$L$1</f>
        <v>607625</v>
      </c>
      <c r="I154" s="41">
        <f>H154-G154</f>
        <v>533121.73</v>
      </c>
      <c r="J154" s="826">
        <f>IF(I154=0,"",I154/H154)</f>
        <v>0.87738610162517994</v>
      </c>
      <c r="K154" s="517">
        <f>E154</f>
        <v>607625</v>
      </c>
      <c r="L154" s="40"/>
    </row>
    <row r="155" spans="1:12" ht="5.0999999999999996" customHeight="1" x14ac:dyDescent="0.25">
      <c r="A155" s="39"/>
      <c r="B155" s="142"/>
      <c r="C155" s="111"/>
      <c r="D155" s="221"/>
      <c r="E155" s="41"/>
      <c r="F155" s="41"/>
      <c r="G155" s="41"/>
      <c r="H155" s="41"/>
      <c r="I155" s="41"/>
      <c r="J155" s="826" t="str">
        <f>IF(I155=0,"",I155/H155)</f>
        <v/>
      </c>
      <c r="K155" s="119"/>
    </row>
    <row r="156" spans="1:12" ht="12.75" customHeight="1" x14ac:dyDescent="0.25">
      <c r="A156" s="32" t="s">
        <v>1357</v>
      </c>
      <c r="B156" s="142"/>
      <c r="C156" s="472">
        <f t="shared" ref="C156:H156" si="61">SUM(C157:C157)</f>
        <v>1895717.2199999997</v>
      </c>
      <c r="D156" s="830">
        <f t="shared" si="61"/>
        <v>23190000</v>
      </c>
      <c r="E156" s="474">
        <f t="shared" si="61"/>
        <v>29380757</v>
      </c>
      <c r="F156" s="474">
        <f t="shared" si="61"/>
        <v>812277.25000000093</v>
      </c>
      <c r="G156" s="474">
        <f t="shared" si="61"/>
        <v>28196757.330000002</v>
      </c>
      <c r="H156" s="474">
        <f t="shared" si="61"/>
        <v>29380757</v>
      </c>
      <c r="I156" s="474">
        <f>H156-G156</f>
        <v>1183999.6699999981</v>
      </c>
      <c r="J156" s="832">
        <f>IF(I156=0,"",I156/H156)</f>
        <v>4.029847392972203E-2</v>
      </c>
      <c r="K156" s="476">
        <f>SUM(K157)</f>
        <v>29380757</v>
      </c>
    </row>
    <row r="157" spans="1:12" ht="12.75" customHeight="1" x14ac:dyDescent="0.25">
      <c r="A157" s="828" t="s">
        <v>1357</v>
      </c>
      <c r="B157" s="142"/>
      <c r="C157" s="526">
        <v>1895717.2199999997</v>
      </c>
      <c r="D157" s="531">
        <v>23190000</v>
      </c>
      <c r="E157" s="329">
        <v>29380757</v>
      </c>
      <c r="F157" s="329">
        <v>812277.25000000093</v>
      </c>
      <c r="G157" s="329">
        <v>28196757.330000002</v>
      </c>
      <c r="H157" s="329">
        <f>E157/12*$L$1</f>
        <v>29380757</v>
      </c>
      <c r="I157" s="41">
        <f>H157-G157</f>
        <v>1183999.6699999981</v>
      </c>
      <c r="J157" s="826">
        <f>IF(I157=0,"",I157/H157)</f>
        <v>4.029847392972203E-2</v>
      </c>
      <c r="K157" s="517">
        <f>E157</f>
        <v>29380757</v>
      </c>
    </row>
    <row r="158" spans="1:12" ht="5.0999999999999996" customHeight="1" x14ac:dyDescent="0.25">
      <c r="A158" s="39"/>
      <c r="B158" s="142"/>
      <c r="C158" s="111"/>
      <c r="D158" s="221"/>
      <c r="E158" s="41"/>
      <c r="F158" s="41"/>
      <c r="G158" s="41"/>
      <c r="H158" s="41"/>
      <c r="I158" s="41"/>
      <c r="J158" s="826"/>
      <c r="K158" s="119"/>
    </row>
    <row r="159" spans="1:12" ht="12.75" customHeight="1" x14ac:dyDescent="0.25">
      <c r="A159" s="32" t="s">
        <v>1358</v>
      </c>
      <c r="B159" s="142"/>
      <c r="C159" s="472">
        <f t="shared" ref="C159:H159" si="62">SUM(C160:C160)</f>
        <v>2352751.9</v>
      </c>
      <c r="D159" s="830">
        <f t="shared" si="62"/>
        <v>5550000</v>
      </c>
      <c r="E159" s="474">
        <f t="shared" si="62"/>
        <v>11998471</v>
      </c>
      <c r="F159" s="474">
        <f t="shared" si="62"/>
        <v>444167.71999999968</v>
      </c>
      <c r="G159" s="474">
        <f t="shared" si="62"/>
        <v>2469158.4800000023</v>
      </c>
      <c r="H159" s="474">
        <f t="shared" si="62"/>
        <v>11998471</v>
      </c>
      <c r="I159" s="474">
        <f>H159-G159</f>
        <v>9529312.5199999977</v>
      </c>
      <c r="J159" s="832">
        <f>IF(I159=0,"",I159/H159)</f>
        <v>0.79421057233042425</v>
      </c>
      <c r="K159" s="476">
        <f>SUM(K160)</f>
        <v>11998471</v>
      </c>
    </row>
    <row r="160" spans="1:12" ht="12.75" customHeight="1" x14ac:dyDescent="0.25">
      <c r="A160" s="828" t="s">
        <v>1358</v>
      </c>
      <c r="B160" s="142"/>
      <c r="C160" s="526">
        <v>2352751.9</v>
      </c>
      <c r="D160" s="531">
        <v>5550000</v>
      </c>
      <c r="E160" s="329">
        <v>11998471</v>
      </c>
      <c r="F160" s="329">
        <v>444167.71999999968</v>
      </c>
      <c r="G160" s="329">
        <v>2469158.4800000023</v>
      </c>
      <c r="H160" s="329">
        <f>E160/12*$L$1</f>
        <v>11998471</v>
      </c>
      <c r="I160" s="41">
        <f>H160-G160</f>
        <v>9529312.5199999977</v>
      </c>
      <c r="J160" s="826">
        <f>IF(I160=0,"",I160/H160)</f>
        <v>0.79421057233042425</v>
      </c>
      <c r="K160" s="517">
        <f>E160</f>
        <v>11998471</v>
      </c>
    </row>
    <row r="161" spans="1:11" ht="5.0999999999999996" customHeight="1" x14ac:dyDescent="0.25">
      <c r="A161" s="39"/>
      <c r="B161" s="142"/>
      <c r="C161" s="111"/>
      <c r="D161" s="221"/>
      <c r="E161" s="41"/>
      <c r="F161" s="41"/>
      <c r="G161" s="41"/>
      <c r="H161" s="41"/>
      <c r="I161" s="41"/>
      <c r="J161" s="826"/>
      <c r="K161" s="119"/>
    </row>
    <row r="162" spans="1:11" ht="12.75" customHeight="1" x14ac:dyDescent="0.25">
      <c r="A162" s="32" t="s">
        <v>1367</v>
      </c>
      <c r="B162" s="142"/>
      <c r="C162" s="472">
        <f t="shared" ref="C162:H162" si="63">SUM(C163:C163)</f>
        <v>0</v>
      </c>
      <c r="D162" s="830">
        <f t="shared" si="63"/>
        <v>0</v>
      </c>
      <c r="E162" s="474">
        <f t="shared" si="63"/>
        <v>0</v>
      </c>
      <c r="F162" s="474">
        <f t="shared" si="63"/>
        <v>0</v>
      </c>
      <c r="G162" s="474">
        <f t="shared" si="63"/>
        <v>0</v>
      </c>
      <c r="H162" s="474">
        <f t="shared" si="63"/>
        <v>0</v>
      </c>
      <c r="I162" s="474">
        <f>H162-G162</f>
        <v>0</v>
      </c>
      <c r="J162" s="832" t="str">
        <f>IF(I162=0,"",I162/H162)</f>
        <v/>
      </c>
      <c r="K162" s="476">
        <f>SUM(K163)</f>
        <v>0</v>
      </c>
    </row>
    <row r="163" spans="1:11" ht="12.75" customHeight="1" x14ac:dyDescent="0.25">
      <c r="A163" s="828" t="s">
        <v>1367</v>
      </c>
      <c r="B163" s="142"/>
      <c r="C163" s="526">
        <v>0</v>
      </c>
      <c r="D163" s="531">
        <v>0</v>
      </c>
      <c r="E163" s="329">
        <v>0</v>
      </c>
      <c r="F163" s="329">
        <v>0</v>
      </c>
      <c r="G163" s="329">
        <v>0</v>
      </c>
      <c r="H163" s="329">
        <f>E163/12*$L$1</f>
        <v>0</v>
      </c>
      <c r="I163" s="41">
        <f>H163-G163</f>
        <v>0</v>
      </c>
      <c r="J163" s="826" t="str">
        <f>IF(I163=0,"",I163/H163)</f>
        <v/>
      </c>
      <c r="K163" s="517">
        <f>E163</f>
        <v>0</v>
      </c>
    </row>
    <row r="164" spans="1:11" ht="5.0999999999999996" customHeight="1" x14ac:dyDescent="0.25">
      <c r="A164" s="39"/>
      <c r="B164" s="142"/>
      <c r="C164" s="111"/>
      <c r="D164" s="221"/>
      <c r="E164" s="41"/>
      <c r="F164" s="41"/>
      <c r="G164" s="41"/>
      <c r="H164" s="41"/>
      <c r="I164" s="41"/>
      <c r="J164" s="826"/>
      <c r="K164" s="119"/>
    </row>
    <row r="165" spans="1:11" ht="12.75" customHeight="1" x14ac:dyDescent="0.25">
      <c r="A165" s="32" t="s">
        <v>1359</v>
      </c>
      <c r="B165" s="142"/>
      <c r="C165" s="472">
        <f t="shared" ref="C165:H165" si="64">SUM(C166:C166)</f>
        <v>0</v>
      </c>
      <c r="D165" s="830">
        <f t="shared" si="64"/>
        <v>0</v>
      </c>
      <c r="E165" s="474">
        <f t="shared" si="64"/>
        <v>0</v>
      </c>
      <c r="F165" s="474">
        <f t="shared" si="64"/>
        <v>0</v>
      </c>
      <c r="G165" s="474">
        <f t="shared" si="64"/>
        <v>0</v>
      </c>
      <c r="H165" s="474">
        <f t="shared" si="64"/>
        <v>0</v>
      </c>
      <c r="I165" s="474">
        <f>H165-G165</f>
        <v>0</v>
      </c>
      <c r="J165" s="832" t="str">
        <f>IF(I165=0,"",I165/H165)</f>
        <v/>
      </c>
      <c r="K165" s="476">
        <f>SUM(K166)</f>
        <v>0</v>
      </c>
    </row>
    <row r="166" spans="1:11" ht="12.75" customHeight="1" x14ac:dyDescent="0.25">
      <c r="A166" s="828" t="s">
        <v>1359</v>
      </c>
      <c r="B166" s="142"/>
      <c r="C166" s="526">
        <v>0</v>
      </c>
      <c r="D166" s="531">
        <v>0</v>
      </c>
      <c r="E166" s="329">
        <v>0</v>
      </c>
      <c r="F166" s="329">
        <v>0</v>
      </c>
      <c r="G166" s="329">
        <v>0</v>
      </c>
      <c r="H166" s="329">
        <f>E166/12*$L$1</f>
        <v>0</v>
      </c>
      <c r="I166" s="41">
        <f>H166-G166</f>
        <v>0</v>
      </c>
      <c r="J166" s="826" t="str">
        <f>IF(I166=0,"",I166/H166)</f>
        <v/>
      </c>
      <c r="K166" s="517">
        <f>E166</f>
        <v>0</v>
      </c>
    </row>
    <row r="167" spans="1:11" ht="5.0999999999999996" customHeight="1" x14ac:dyDescent="0.25">
      <c r="A167" s="828"/>
      <c r="B167" s="142"/>
      <c r="C167" s="111"/>
      <c r="D167" s="221"/>
      <c r="E167" s="41"/>
      <c r="F167" s="41"/>
      <c r="G167" s="41"/>
      <c r="H167" s="41"/>
      <c r="I167" s="41"/>
      <c r="J167" s="826" t="str">
        <f>IF(I167=0,"",I167/H167)</f>
        <v/>
      </c>
      <c r="K167" s="119"/>
    </row>
    <row r="168" spans="1:11" ht="12.75" customHeight="1" x14ac:dyDescent="0.25">
      <c r="A168" s="49" t="s">
        <v>890</v>
      </c>
      <c r="B168" s="199">
        <v>1</v>
      </c>
      <c r="C168" s="94">
        <f t="shared" ref="C168:H168" si="65">C7+C75+C104+C111+C119+C137+C140+C150+C153+C156+C159+C162+C165</f>
        <v>158719201.99999997</v>
      </c>
      <c r="D168" s="230">
        <f t="shared" si="65"/>
        <v>181299377</v>
      </c>
      <c r="E168" s="51">
        <f t="shared" si="65"/>
        <v>237204952.22</v>
      </c>
      <c r="F168" s="51">
        <f t="shared" si="65"/>
        <v>14748953.660000004</v>
      </c>
      <c r="G168" s="51">
        <f t="shared" si="65"/>
        <v>203360387.96000004</v>
      </c>
      <c r="H168" s="51">
        <f t="shared" si="65"/>
        <v>237204952.22</v>
      </c>
      <c r="I168" s="51">
        <f>H168-G168</f>
        <v>33844564.259999961</v>
      </c>
      <c r="J168" s="835">
        <f>IF(I168=0,"",I168/H168)</f>
        <v>0.14268068159306477</v>
      </c>
      <c r="K168" s="198">
        <f>K7+K75+K104+K111+K119+K137+K140+K150+K153+K156+K159+K162+K165</f>
        <v>237204952.22</v>
      </c>
    </row>
    <row r="169" spans="1:11" ht="12.75" customHeight="1" x14ac:dyDescent="0.25">
      <c r="A169" s="77"/>
      <c r="C169" s="45"/>
      <c r="D169" s="45"/>
      <c r="E169" s="45"/>
      <c r="F169" s="45"/>
      <c r="G169" s="45"/>
      <c r="H169" s="45"/>
      <c r="I169" s="45"/>
      <c r="J169" s="836"/>
      <c r="K169" s="837"/>
    </row>
    <row r="170" spans="1:11" ht="11.25" customHeight="1" x14ac:dyDescent="0.25">
      <c r="A170" s="39"/>
      <c r="C170" s="55"/>
      <c r="D170" s="55"/>
      <c r="E170" s="55"/>
      <c r="F170" s="55"/>
      <c r="G170" s="55"/>
      <c r="H170" s="55"/>
      <c r="I170" s="55"/>
      <c r="J170" s="55"/>
      <c r="K170" s="381"/>
    </row>
    <row r="171" spans="1:11" ht="11.25" customHeight="1" x14ac:dyDescent="0.25">
      <c r="A171" s="678" t="s">
        <v>733</v>
      </c>
      <c r="B171" s="679"/>
      <c r="C171" s="838">
        <f>C168+SC13b!C168+SC13e!C168-'C5-Capex'!C40</f>
        <v>0</v>
      </c>
      <c r="D171" s="838">
        <f>D168+SC13b!D168+SC13e!D168-'C5-Capex'!D40</f>
        <v>0</v>
      </c>
      <c r="E171" s="838">
        <f>E168+SC13b!E168+SC13e!E168-'C5-Capex'!E40</f>
        <v>0</v>
      </c>
      <c r="F171" s="838">
        <f>F168+SC13b!F168+SC13e!F168-'C5-Capex'!F40</f>
        <v>0</v>
      </c>
      <c r="G171" s="838">
        <f>G168+SC13b!G168+SC13e!G168-'C5-Capex'!G40</f>
        <v>0</v>
      </c>
      <c r="H171" s="838">
        <f>H168+SC13b!H168+SC13e!H168-'C5-Capex'!H40</f>
        <v>0</v>
      </c>
      <c r="I171" s="838"/>
      <c r="J171" s="838"/>
      <c r="K171" s="839">
        <f>K168+SC13b!K168+SC13e!K168-'C5-Capex'!K40</f>
        <v>0</v>
      </c>
    </row>
  </sheetData>
  <mergeCells count="3">
    <mergeCell ref="A2:A3"/>
    <mergeCell ref="B2:B3"/>
    <mergeCell ref="A1:K1"/>
  </mergeCells>
  <phoneticPr fontId="3" type="noConversion"/>
  <printOptions horizontalCentered="1"/>
  <pageMargins left="0.19685039370078741" right="0.19685039370078741" top="0.39370078740157483" bottom="0.39370078740157483" header="0.51181102362204722" footer="0.51181102362204722"/>
  <pageSetup paperSize="9" scale="91" fitToHeight="3" orientation="portrait" r:id="rId1"/>
  <headerFooter alignWithMargins="0"/>
  <ignoredErrors>
    <ignoredError sqref="K7:K12 H9:H12 H157 H160" unlockedFormula="1"/>
    <ignoredError sqref="K13:K166 H13:H156 H158:H159 H161:H168" formula="1" unlockedFormula="1"/>
    <ignoredError sqref="K167:K168" formula="1"/>
    <ignoredError sqref="J7:J168" evalError="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
    <tabColor indexed="42"/>
    <pageSetUpPr fitToPage="1"/>
  </sheetPr>
  <dimension ref="A1:L171"/>
  <sheetViews>
    <sheetView showGridLines="0" view="pageBreakPreview" zoomScaleNormal="100" zoomScaleSheetLayoutView="100" workbookViewId="0">
      <pane ySplit="4" topLeftCell="A146" activePane="bottomLeft" state="frozen"/>
      <selection pane="bottomLeft" activeCell="G169" sqref="G169"/>
    </sheetView>
  </sheetViews>
  <sheetFormatPr defaultColWidth="9.140625" defaultRowHeight="12.75" x14ac:dyDescent="0.25"/>
  <cols>
    <col min="1" max="1" width="34.140625" style="22" customWidth="1"/>
    <col min="2" max="2" width="3.140625" style="54" customWidth="1"/>
    <col min="3" max="8" width="8.7109375" style="22" customWidth="1"/>
    <col min="9" max="10" width="6.7109375" style="22" customWidth="1"/>
    <col min="11" max="11" width="8.7109375" style="22" customWidth="1"/>
    <col min="12" max="12" width="9.85546875" style="677" hidden="1" customWidth="1"/>
    <col min="13" max="13" width="9.5703125" style="22" customWidth="1"/>
    <col min="14" max="14" width="9.85546875" style="22" customWidth="1"/>
    <col min="15" max="17" width="9.5703125" style="22" customWidth="1"/>
    <col min="18" max="18" width="9.85546875" style="22" customWidth="1"/>
    <col min="19" max="21" width="9.5703125" style="22" customWidth="1"/>
    <col min="22" max="23" width="9.85546875" style="22" customWidth="1"/>
    <col min="24" max="16384" width="9.140625" style="22"/>
  </cols>
  <sheetData>
    <row r="1" spans="1:12" ht="13.5" x14ac:dyDescent="0.25">
      <c r="A1" s="982" t="str">
        <f>muni&amp; " - "&amp;S71Sb&amp; " - "&amp;Head57</f>
        <v>WC025 Breede Valley - Supporting Table SC13b Monthly Budget Statement - capital expenditure on renewal of existing assets by asset class - Q4 Fourth Quarter</v>
      </c>
      <c r="B1" s="983"/>
      <c r="C1" s="983"/>
      <c r="D1" s="983"/>
      <c r="E1" s="983"/>
      <c r="F1" s="983"/>
      <c r="G1" s="983"/>
      <c r="H1" s="983"/>
      <c r="I1" s="983"/>
      <c r="J1" s="983"/>
      <c r="K1" s="984"/>
      <c r="L1" s="911">
        <v>12</v>
      </c>
    </row>
    <row r="2" spans="1:12" x14ac:dyDescent="0.25">
      <c r="A2" s="1038" t="str">
        <f>desc</f>
        <v>Description</v>
      </c>
      <c r="B2" s="1040" t="str">
        <f>head27</f>
        <v>Ref</v>
      </c>
      <c r="C2" s="815" t="str">
        <f>Head1</f>
        <v>2017/18</v>
      </c>
      <c r="D2" s="816" t="str">
        <f>Head2</f>
        <v>Budget Year 2018/19</v>
      </c>
      <c r="E2" s="817"/>
      <c r="F2" s="817"/>
      <c r="G2" s="817"/>
      <c r="H2" s="817"/>
      <c r="I2" s="817"/>
      <c r="J2" s="817"/>
      <c r="K2" s="818"/>
    </row>
    <row r="3" spans="1:12" ht="25.5" x14ac:dyDescent="0.25">
      <c r="A3" s="1039"/>
      <c r="B3" s="1041"/>
      <c r="C3" s="819" t="str">
        <f>Head5</f>
        <v>Audited Outcome</v>
      </c>
      <c r="D3" s="820" t="str">
        <f>Head6</f>
        <v>Original Budget</v>
      </c>
      <c r="E3" s="821" t="str">
        <f>Head7</f>
        <v>Adjusted Budget</v>
      </c>
      <c r="F3" s="821" t="str">
        <f>Head38</f>
        <v>Monthly actual</v>
      </c>
      <c r="G3" s="821" t="str">
        <f>Head39</f>
        <v>YearTD actual</v>
      </c>
      <c r="H3" s="821" t="str">
        <f>Head40</f>
        <v>YearTD budget</v>
      </c>
      <c r="I3" s="821" t="str">
        <f>Head41</f>
        <v>YTD variance</v>
      </c>
      <c r="J3" s="822" t="str">
        <f>Head41</f>
        <v>YTD variance</v>
      </c>
      <c r="K3" s="823" t="str">
        <f>Head8</f>
        <v>Full Year Forecast</v>
      </c>
    </row>
    <row r="4" spans="1:12" x14ac:dyDescent="0.25">
      <c r="A4" s="824" t="s">
        <v>678</v>
      </c>
      <c r="B4" s="211">
        <v>1</v>
      </c>
      <c r="C4" s="211"/>
      <c r="D4" s="253"/>
      <c r="E4" s="249"/>
      <c r="F4" s="825"/>
      <c r="G4" s="825"/>
      <c r="H4" s="825"/>
      <c r="I4" s="825"/>
      <c r="J4" s="300" t="s">
        <v>586</v>
      </c>
      <c r="K4" s="408"/>
    </row>
    <row r="5" spans="1:12" ht="12.75" customHeight="1" x14ac:dyDescent="0.25">
      <c r="A5" s="149" t="s">
        <v>892</v>
      </c>
      <c r="B5" s="142"/>
      <c r="C5" s="111"/>
      <c r="D5" s="221"/>
      <c r="E5" s="41"/>
      <c r="F5" s="41"/>
      <c r="G5" s="41"/>
      <c r="H5" s="41"/>
      <c r="I5" s="41"/>
      <c r="J5" s="826"/>
      <c r="K5" s="119"/>
    </row>
    <row r="6" spans="1:12" ht="5.0999999999999996" customHeight="1" x14ac:dyDescent="0.25">
      <c r="A6" s="32"/>
      <c r="B6" s="142"/>
      <c r="C6" s="111"/>
      <c r="D6" s="221"/>
      <c r="E6" s="41"/>
      <c r="F6" s="41"/>
      <c r="G6" s="41"/>
      <c r="H6" s="41"/>
      <c r="I6" s="41"/>
      <c r="J6" s="826"/>
      <c r="K6" s="119"/>
    </row>
    <row r="7" spans="1:12" ht="12.75" customHeight="1" x14ac:dyDescent="0.25">
      <c r="A7" s="32" t="s">
        <v>654</v>
      </c>
      <c r="B7" s="142"/>
      <c r="C7" s="91">
        <f t="shared" ref="C7:H7" si="0">C8+C13+C17+C27+C38+C45+C53+C63+C69</f>
        <v>33063489.259999998</v>
      </c>
      <c r="D7" s="47">
        <f t="shared" si="0"/>
        <v>13550000</v>
      </c>
      <c r="E7" s="46">
        <f t="shared" si="0"/>
        <v>18871240</v>
      </c>
      <c r="F7" s="46">
        <f t="shared" si="0"/>
        <v>10417311.489999998</v>
      </c>
      <c r="G7" s="46">
        <f t="shared" si="0"/>
        <v>18644317.890000001</v>
      </c>
      <c r="H7" s="46">
        <f t="shared" si="0"/>
        <v>18871240</v>
      </c>
      <c r="I7" s="85">
        <f t="shared" ref="I7:I135" si="1">H7-G7</f>
        <v>226922.1099999994</v>
      </c>
      <c r="J7" s="827">
        <f t="shared" ref="J7:J138" si="2">IF(I7=0,"",I7/H7)</f>
        <v>1.2024758839376714E-2</v>
      </c>
      <c r="K7" s="159">
        <f>K8+K13+K17+K27+K38+K45+K53+K63+K69</f>
        <v>18871240</v>
      </c>
    </row>
    <row r="8" spans="1:12" ht="12.75" customHeight="1" x14ac:dyDescent="0.25">
      <c r="A8" s="828" t="s">
        <v>1250</v>
      </c>
      <c r="B8" s="142"/>
      <c r="C8" s="449">
        <f t="shared" ref="C8:H8" si="3">SUM(C9:C12)</f>
        <v>17410506.370000001</v>
      </c>
      <c r="D8" s="450">
        <f t="shared" si="3"/>
        <v>6000000</v>
      </c>
      <c r="E8" s="404">
        <f t="shared" si="3"/>
        <v>4735000</v>
      </c>
      <c r="F8" s="404">
        <f t="shared" si="3"/>
        <v>9184261.5500000007</v>
      </c>
      <c r="G8" s="404">
        <f t="shared" si="3"/>
        <v>12326541.34</v>
      </c>
      <c r="H8" s="404">
        <f t="shared" si="3"/>
        <v>4735000</v>
      </c>
      <c r="I8" s="221">
        <f t="shared" si="1"/>
        <v>-7591541.3399999999</v>
      </c>
      <c r="J8" s="829">
        <f t="shared" si="2"/>
        <v>-1.6032822259767687</v>
      </c>
      <c r="K8" s="451">
        <f>SUM(K9:K12)</f>
        <v>4735000</v>
      </c>
    </row>
    <row r="9" spans="1:12" ht="12.75" customHeight="1" x14ac:dyDescent="0.25">
      <c r="A9" s="694" t="s">
        <v>172</v>
      </c>
      <c r="B9" s="142"/>
      <c r="C9" s="526">
        <v>17410506.370000001</v>
      </c>
      <c r="D9" s="328">
        <v>6000000</v>
      </c>
      <c r="E9" s="329">
        <v>4735000</v>
      </c>
      <c r="F9" s="329">
        <v>9184261.5500000007</v>
      </c>
      <c r="G9" s="329">
        <v>12326541.34</v>
      </c>
      <c r="H9" s="329">
        <f>E9/12*$L$1</f>
        <v>4735000</v>
      </c>
      <c r="I9" s="221">
        <f t="shared" si="1"/>
        <v>-7591541.3399999999</v>
      </c>
      <c r="J9" s="829">
        <f t="shared" si="2"/>
        <v>-1.6032822259767687</v>
      </c>
      <c r="K9" s="517">
        <f>E9</f>
        <v>4735000</v>
      </c>
    </row>
    <row r="10" spans="1:12" ht="12.75" customHeight="1" x14ac:dyDescent="0.25">
      <c r="A10" s="694" t="s">
        <v>1251</v>
      </c>
      <c r="B10" s="142"/>
      <c r="C10" s="526">
        <v>0</v>
      </c>
      <c r="D10" s="328">
        <v>0</v>
      </c>
      <c r="E10" s="329">
        <v>0</v>
      </c>
      <c r="F10" s="329">
        <v>0</v>
      </c>
      <c r="G10" s="329">
        <v>0</v>
      </c>
      <c r="H10" s="329">
        <f t="shared" ref="H10:H12" si="4">E10/12*$L$1</f>
        <v>0</v>
      </c>
      <c r="I10" s="221">
        <f t="shared" si="1"/>
        <v>0</v>
      </c>
      <c r="J10" s="829" t="str">
        <f t="shared" si="2"/>
        <v/>
      </c>
      <c r="K10" s="517">
        <f>E10</f>
        <v>0</v>
      </c>
    </row>
    <row r="11" spans="1:12" ht="12.75" customHeight="1" x14ac:dyDescent="0.25">
      <c r="A11" s="694" t="s">
        <v>1252</v>
      </c>
      <c r="B11" s="142"/>
      <c r="C11" s="526">
        <v>0</v>
      </c>
      <c r="D11" s="328">
        <v>0</v>
      </c>
      <c r="E11" s="329">
        <v>0</v>
      </c>
      <c r="F11" s="329">
        <v>0</v>
      </c>
      <c r="G11" s="329">
        <v>0</v>
      </c>
      <c r="H11" s="329">
        <f t="shared" si="4"/>
        <v>0</v>
      </c>
      <c r="I11" s="221">
        <f t="shared" si="1"/>
        <v>0</v>
      </c>
      <c r="J11" s="829" t="str">
        <f t="shared" si="2"/>
        <v/>
      </c>
      <c r="K11" s="517">
        <f>E11</f>
        <v>0</v>
      </c>
    </row>
    <row r="12" spans="1:12" ht="12.75" customHeight="1" x14ac:dyDescent="0.25">
      <c r="A12" s="694" t="s">
        <v>1253</v>
      </c>
      <c r="B12" s="142"/>
      <c r="C12" s="526">
        <v>0</v>
      </c>
      <c r="D12" s="328">
        <v>0</v>
      </c>
      <c r="E12" s="329">
        <v>0</v>
      </c>
      <c r="F12" s="329">
        <v>0</v>
      </c>
      <c r="G12" s="329">
        <v>0</v>
      </c>
      <c r="H12" s="329">
        <f t="shared" si="4"/>
        <v>0</v>
      </c>
      <c r="I12" s="221">
        <f t="shared" si="1"/>
        <v>0</v>
      </c>
      <c r="J12" s="829" t="str">
        <f t="shared" si="2"/>
        <v/>
      </c>
      <c r="K12" s="517">
        <f>E12</f>
        <v>0</v>
      </c>
    </row>
    <row r="13" spans="1:12" ht="12.75" customHeight="1" x14ac:dyDescent="0.25">
      <c r="A13" s="828" t="s">
        <v>1254</v>
      </c>
      <c r="B13" s="142"/>
      <c r="C13" s="111">
        <f t="shared" ref="C13:H13" si="5">SUM(C14:C16)</f>
        <v>1992378.25</v>
      </c>
      <c r="D13" s="43">
        <f t="shared" si="5"/>
        <v>0</v>
      </c>
      <c r="E13" s="41">
        <f t="shared" si="5"/>
        <v>50000</v>
      </c>
      <c r="F13" s="41">
        <f t="shared" si="5"/>
        <v>0</v>
      </c>
      <c r="G13" s="41">
        <f t="shared" si="5"/>
        <v>0</v>
      </c>
      <c r="H13" s="41">
        <f t="shared" si="5"/>
        <v>50000</v>
      </c>
      <c r="I13" s="221">
        <f t="shared" si="1"/>
        <v>50000</v>
      </c>
      <c r="J13" s="829">
        <f t="shared" si="2"/>
        <v>1</v>
      </c>
      <c r="K13" s="119">
        <f>SUM(K14:K16)</f>
        <v>50000</v>
      </c>
    </row>
    <row r="14" spans="1:12" ht="12.75" customHeight="1" x14ac:dyDescent="0.25">
      <c r="A14" s="694" t="s">
        <v>1255</v>
      </c>
      <c r="B14" s="142"/>
      <c r="C14" s="526">
        <v>0</v>
      </c>
      <c r="D14" s="328">
        <v>0</v>
      </c>
      <c r="E14" s="329">
        <v>0</v>
      </c>
      <c r="F14" s="329">
        <v>0</v>
      </c>
      <c r="G14" s="329">
        <v>0</v>
      </c>
      <c r="H14" s="329">
        <f t="shared" ref="H14:H16" si="6">E14/12*$L$1</f>
        <v>0</v>
      </c>
      <c r="I14" s="221">
        <f t="shared" si="1"/>
        <v>0</v>
      </c>
      <c r="J14" s="829" t="str">
        <f t="shared" si="2"/>
        <v/>
      </c>
      <c r="K14" s="517">
        <f>E14</f>
        <v>0</v>
      </c>
    </row>
    <row r="15" spans="1:12" ht="12.75" customHeight="1" x14ac:dyDescent="0.25">
      <c r="A15" s="694" t="s">
        <v>1256</v>
      </c>
      <c r="B15" s="142"/>
      <c r="C15" s="526">
        <v>1992378.25</v>
      </c>
      <c r="D15" s="328">
        <v>0</v>
      </c>
      <c r="E15" s="329">
        <v>50000</v>
      </c>
      <c r="F15" s="329">
        <v>0</v>
      </c>
      <c r="G15" s="329">
        <v>0</v>
      </c>
      <c r="H15" s="329">
        <f t="shared" si="6"/>
        <v>50000</v>
      </c>
      <c r="I15" s="221">
        <f t="shared" si="1"/>
        <v>50000</v>
      </c>
      <c r="J15" s="829">
        <f t="shared" si="2"/>
        <v>1</v>
      </c>
      <c r="K15" s="517">
        <f>E15</f>
        <v>50000</v>
      </c>
    </row>
    <row r="16" spans="1:12" ht="12.75" customHeight="1" x14ac:dyDescent="0.25">
      <c r="A16" s="694" t="s">
        <v>1257</v>
      </c>
      <c r="B16" s="142"/>
      <c r="C16" s="526">
        <v>0</v>
      </c>
      <c r="D16" s="328">
        <v>0</v>
      </c>
      <c r="E16" s="329">
        <v>0</v>
      </c>
      <c r="F16" s="329">
        <v>0</v>
      </c>
      <c r="G16" s="329">
        <v>0</v>
      </c>
      <c r="H16" s="329">
        <f t="shared" si="6"/>
        <v>0</v>
      </c>
      <c r="I16" s="221">
        <f t="shared" si="1"/>
        <v>0</v>
      </c>
      <c r="J16" s="829" t="str">
        <f t="shared" si="2"/>
        <v/>
      </c>
      <c r="K16" s="517">
        <f>E16</f>
        <v>0</v>
      </c>
    </row>
    <row r="17" spans="1:11" ht="12.75" customHeight="1" x14ac:dyDescent="0.25">
      <c r="A17" s="828" t="s">
        <v>1258</v>
      </c>
      <c r="B17" s="142"/>
      <c r="C17" s="111">
        <f t="shared" ref="C17:H17" si="7">SUM(C18:C26)</f>
        <v>2242566.6799999997</v>
      </c>
      <c r="D17" s="43">
        <f t="shared" si="7"/>
        <v>4000000</v>
      </c>
      <c r="E17" s="41">
        <f t="shared" si="7"/>
        <v>9668092</v>
      </c>
      <c r="F17" s="41">
        <f t="shared" si="7"/>
        <v>1033049.94</v>
      </c>
      <c r="G17" s="41">
        <f t="shared" si="7"/>
        <v>2348052.35</v>
      </c>
      <c r="H17" s="41">
        <f t="shared" si="7"/>
        <v>9668092</v>
      </c>
      <c r="I17" s="221">
        <f t="shared" si="1"/>
        <v>7320039.6500000004</v>
      </c>
      <c r="J17" s="829">
        <f t="shared" si="2"/>
        <v>0.75713384295474229</v>
      </c>
      <c r="K17" s="119">
        <f>SUM(K18:K26)</f>
        <v>9668092</v>
      </c>
    </row>
    <row r="18" spans="1:11" ht="12.75" customHeight="1" x14ac:dyDescent="0.25">
      <c r="A18" s="694" t="s">
        <v>1259</v>
      </c>
      <c r="B18" s="142"/>
      <c r="C18" s="526">
        <v>0</v>
      </c>
      <c r="D18" s="328">
        <v>0</v>
      </c>
      <c r="E18" s="329">
        <v>0</v>
      </c>
      <c r="F18" s="329">
        <v>0</v>
      </c>
      <c r="G18" s="329">
        <v>0</v>
      </c>
      <c r="H18" s="329">
        <f t="shared" ref="H18:H26" si="8">E18/12*$L$1</f>
        <v>0</v>
      </c>
      <c r="I18" s="221">
        <f t="shared" si="1"/>
        <v>0</v>
      </c>
      <c r="J18" s="829" t="str">
        <f t="shared" si="2"/>
        <v/>
      </c>
      <c r="K18" s="517">
        <f t="shared" ref="K18:K26" si="9">E18</f>
        <v>0</v>
      </c>
    </row>
    <row r="19" spans="1:11" ht="12.75" customHeight="1" x14ac:dyDescent="0.25">
      <c r="A19" s="694" t="s">
        <v>1260</v>
      </c>
      <c r="B19" s="142"/>
      <c r="C19" s="526">
        <v>0</v>
      </c>
      <c r="D19" s="328">
        <v>0</v>
      </c>
      <c r="E19" s="329">
        <v>0</v>
      </c>
      <c r="F19" s="329">
        <v>0</v>
      </c>
      <c r="G19" s="329">
        <v>0</v>
      </c>
      <c r="H19" s="329">
        <f t="shared" si="8"/>
        <v>0</v>
      </c>
      <c r="I19" s="221">
        <f t="shared" si="1"/>
        <v>0</v>
      </c>
      <c r="J19" s="829" t="str">
        <f t="shared" si="2"/>
        <v/>
      </c>
      <c r="K19" s="517">
        <f t="shared" si="9"/>
        <v>0</v>
      </c>
    </row>
    <row r="20" spans="1:11" ht="12.75" customHeight="1" x14ac:dyDescent="0.25">
      <c r="A20" s="694" t="s">
        <v>1261</v>
      </c>
      <c r="B20" s="142"/>
      <c r="C20" s="526">
        <v>0</v>
      </c>
      <c r="D20" s="328">
        <v>0</v>
      </c>
      <c r="E20" s="329">
        <v>0</v>
      </c>
      <c r="F20" s="329">
        <v>0</v>
      </c>
      <c r="G20" s="329">
        <v>0</v>
      </c>
      <c r="H20" s="329">
        <f t="shared" si="8"/>
        <v>0</v>
      </c>
      <c r="I20" s="221">
        <f t="shared" si="1"/>
        <v>0</v>
      </c>
      <c r="J20" s="829" t="str">
        <f t="shared" si="2"/>
        <v/>
      </c>
      <c r="K20" s="517">
        <f t="shared" si="9"/>
        <v>0</v>
      </c>
    </row>
    <row r="21" spans="1:11" ht="12.75" customHeight="1" x14ac:dyDescent="0.25">
      <c r="A21" s="694" t="s">
        <v>1262</v>
      </c>
      <c r="B21" s="142"/>
      <c r="C21" s="526">
        <v>0</v>
      </c>
      <c r="D21" s="328">
        <v>0</v>
      </c>
      <c r="E21" s="329">
        <v>0</v>
      </c>
      <c r="F21" s="329">
        <v>0</v>
      </c>
      <c r="G21" s="329">
        <v>0</v>
      </c>
      <c r="H21" s="329">
        <f t="shared" si="8"/>
        <v>0</v>
      </c>
      <c r="I21" s="221">
        <f t="shared" si="1"/>
        <v>0</v>
      </c>
      <c r="J21" s="829" t="str">
        <f t="shared" si="2"/>
        <v/>
      </c>
      <c r="K21" s="517">
        <f t="shared" si="9"/>
        <v>0</v>
      </c>
    </row>
    <row r="22" spans="1:11" ht="12.75" customHeight="1" x14ac:dyDescent="0.25">
      <c r="A22" s="694" t="s">
        <v>1263</v>
      </c>
      <c r="B22" s="142"/>
      <c r="C22" s="526">
        <v>0</v>
      </c>
      <c r="D22" s="328">
        <v>2000000</v>
      </c>
      <c r="E22" s="329">
        <v>0</v>
      </c>
      <c r="F22" s="329">
        <v>0</v>
      </c>
      <c r="G22" s="329">
        <v>0</v>
      </c>
      <c r="H22" s="329">
        <f t="shared" si="8"/>
        <v>0</v>
      </c>
      <c r="I22" s="221">
        <f t="shared" si="1"/>
        <v>0</v>
      </c>
      <c r="J22" s="829" t="str">
        <f t="shared" si="2"/>
        <v/>
      </c>
      <c r="K22" s="517">
        <f t="shared" si="9"/>
        <v>0</v>
      </c>
    </row>
    <row r="23" spans="1:11" ht="12.75" customHeight="1" x14ac:dyDescent="0.25">
      <c r="A23" s="694" t="s">
        <v>1264</v>
      </c>
      <c r="B23" s="142"/>
      <c r="C23" s="526">
        <v>0</v>
      </c>
      <c r="D23" s="328">
        <v>0</v>
      </c>
      <c r="E23" s="329">
        <v>0</v>
      </c>
      <c r="F23" s="329">
        <v>0</v>
      </c>
      <c r="G23" s="329">
        <v>0</v>
      </c>
      <c r="H23" s="329">
        <f t="shared" si="8"/>
        <v>0</v>
      </c>
      <c r="I23" s="221">
        <f t="shared" si="1"/>
        <v>0</v>
      </c>
      <c r="J23" s="829" t="str">
        <f t="shared" si="2"/>
        <v/>
      </c>
      <c r="K23" s="517">
        <f t="shared" si="9"/>
        <v>0</v>
      </c>
    </row>
    <row r="24" spans="1:11" ht="12.75" customHeight="1" x14ac:dyDescent="0.25">
      <c r="A24" s="694" t="s">
        <v>1265</v>
      </c>
      <c r="B24" s="142"/>
      <c r="C24" s="526">
        <v>0</v>
      </c>
      <c r="D24" s="328">
        <v>0</v>
      </c>
      <c r="E24" s="329">
        <v>0</v>
      </c>
      <c r="F24" s="329">
        <v>0</v>
      </c>
      <c r="G24" s="329">
        <v>0</v>
      </c>
      <c r="H24" s="329">
        <f t="shared" si="8"/>
        <v>0</v>
      </c>
      <c r="I24" s="221">
        <f t="shared" si="1"/>
        <v>0</v>
      </c>
      <c r="J24" s="829" t="str">
        <f t="shared" si="2"/>
        <v/>
      </c>
      <c r="K24" s="517">
        <f t="shared" si="9"/>
        <v>0</v>
      </c>
    </row>
    <row r="25" spans="1:11" ht="12.75" customHeight="1" x14ac:dyDescent="0.25">
      <c r="A25" s="694" t="s">
        <v>1266</v>
      </c>
      <c r="B25" s="142"/>
      <c r="C25" s="526">
        <v>2242566.6799999997</v>
      </c>
      <c r="D25" s="328">
        <v>2000000</v>
      </c>
      <c r="E25" s="329">
        <v>9668092</v>
      </c>
      <c r="F25" s="329">
        <v>1033049.94</v>
      </c>
      <c r="G25" s="329">
        <v>2348052.35</v>
      </c>
      <c r="H25" s="329">
        <f t="shared" si="8"/>
        <v>9668092</v>
      </c>
      <c r="I25" s="221">
        <f t="shared" si="1"/>
        <v>7320039.6500000004</v>
      </c>
      <c r="J25" s="829">
        <f t="shared" si="2"/>
        <v>0.75713384295474229</v>
      </c>
      <c r="K25" s="517">
        <f t="shared" si="9"/>
        <v>9668092</v>
      </c>
    </row>
    <row r="26" spans="1:11" ht="12.75" customHeight="1" x14ac:dyDescent="0.25">
      <c r="A26" s="694" t="s">
        <v>1253</v>
      </c>
      <c r="B26" s="142"/>
      <c r="C26" s="526">
        <v>0</v>
      </c>
      <c r="D26" s="328">
        <v>0</v>
      </c>
      <c r="E26" s="329">
        <v>0</v>
      </c>
      <c r="F26" s="329">
        <v>0</v>
      </c>
      <c r="G26" s="329">
        <v>0</v>
      </c>
      <c r="H26" s="329">
        <f t="shared" si="8"/>
        <v>0</v>
      </c>
      <c r="I26" s="221">
        <f t="shared" si="1"/>
        <v>0</v>
      </c>
      <c r="J26" s="829" t="str">
        <f t="shared" si="2"/>
        <v/>
      </c>
      <c r="K26" s="517">
        <f t="shared" si="9"/>
        <v>0</v>
      </c>
    </row>
    <row r="27" spans="1:11" ht="12.75" customHeight="1" x14ac:dyDescent="0.25">
      <c r="A27" s="828" t="s">
        <v>1267</v>
      </c>
      <c r="B27" s="142"/>
      <c r="C27" s="111">
        <f t="shared" ref="C27:H27" si="10">SUM(C28:C37)</f>
        <v>5387318.0999999996</v>
      </c>
      <c r="D27" s="43">
        <f t="shared" si="10"/>
        <v>2550000</v>
      </c>
      <c r="E27" s="41">
        <f t="shared" si="10"/>
        <v>2148000</v>
      </c>
      <c r="F27" s="41">
        <f t="shared" si="10"/>
        <v>200000</v>
      </c>
      <c r="G27" s="41">
        <f t="shared" si="10"/>
        <v>1734497.91</v>
      </c>
      <c r="H27" s="41">
        <f t="shared" si="10"/>
        <v>2148000</v>
      </c>
      <c r="I27" s="221">
        <f t="shared" si="1"/>
        <v>413502.09000000008</v>
      </c>
      <c r="J27" s="829">
        <f t="shared" si="2"/>
        <v>0.19250562849162015</v>
      </c>
      <c r="K27" s="119">
        <f>SUM(K28:K37)</f>
        <v>2148000</v>
      </c>
    </row>
    <row r="28" spans="1:11" ht="12.75" customHeight="1" x14ac:dyDescent="0.25">
      <c r="A28" s="694" t="s">
        <v>1268</v>
      </c>
      <c r="B28" s="142"/>
      <c r="C28" s="526">
        <v>0</v>
      </c>
      <c r="D28" s="328">
        <v>750000</v>
      </c>
      <c r="E28" s="329">
        <v>348000</v>
      </c>
      <c r="F28" s="329">
        <v>0</v>
      </c>
      <c r="G28" s="329">
        <v>0</v>
      </c>
      <c r="H28" s="329">
        <f t="shared" ref="H28:H37" si="11">E28/12*$L$1</f>
        <v>348000</v>
      </c>
      <c r="I28" s="221">
        <f t="shared" si="1"/>
        <v>348000</v>
      </c>
      <c r="J28" s="829">
        <f t="shared" si="2"/>
        <v>1</v>
      </c>
      <c r="K28" s="517">
        <f t="shared" ref="K28:K37" si="12">E28</f>
        <v>348000</v>
      </c>
    </row>
    <row r="29" spans="1:11" ht="12.75" customHeight="1" x14ac:dyDescent="0.25">
      <c r="A29" s="694" t="s">
        <v>1269</v>
      </c>
      <c r="B29" s="142"/>
      <c r="C29" s="526">
        <v>0</v>
      </c>
      <c r="D29" s="328">
        <v>0</v>
      </c>
      <c r="E29" s="329">
        <v>0</v>
      </c>
      <c r="F29" s="329">
        <v>0</v>
      </c>
      <c r="G29" s="329">
        <v>0</v>
      </c>
      <c r="H29" s="329">
        <f t="shared" si="11"/>
        <v>0</v>
      </c>
      <c r="I29" s="221">
        <f t="shared" si="1"/>
        <v>0</v>
      </c>
      <c r="J29" s="829" t="str">
        <f t="shared" si="2"/>
        <v/>
      </c>
      <c r="K29" s="517">
        <f t="shared" si="12"/>
        <v>0</v>
      </c>
    </row>
    <row r="30" spans="1:11" ht="12.75" customHeight="1" x14ac:dyDescent="0.25">
      <c r="A30" s="694" t="s">
        <v>1270</v>
      </c>
      <c r="B30" s="142"/>
      <c r="C30" s="526">
        <v>0</v>
      </c>
      <c r="D30" s="328">
        <v>0</v>
      </c>
      <c r="E30" s="329">
        <v>0</v>
      </c>
      <c r="F30" s="329">
        <v>0</v>
      </c>
      <c r="G30" s="329">
        <v>0</v>
      </c>
      <c r="H30" s="329">
        <f t="shared" si="11"/>
        <v>0</v>
      </c>
      <c r="I30" s="221">
        <f t="shared" si="1"/>
        <v>0</v>
      </c>
      <c r="J30" s="829" t="str">
        <f t="shared" si="2"/>
        <v/>
      </c>
      <c r="K30" s="517">
        <f t="shared" si="12"/>
        <v>0</v>
      </c>
    </row>
    <row r="31" spans="1:11" ht="12.75" customHeight="1" x14ac:dyDescent="0.25">
      <c r="A31" s="694" t="s">
        <v>1271</v>
      </c>
      <c r="B31" s="142"/>
      <c r="C31" s="526">
        <v>0</v>
      </c>
      <c r="D31" s="328">
        <v>0</v>
      </c>
      <c r="E31" s="329">
        <v>0</v>
      </c>
      <c r="F31" s="329">
        <v>0</v>
      </c>
      <c r="G31" s="329">
        <v>0</v>
      </c>
      <c r="H31" s="329">
        <f t="shared" si="11"/>
        <v>0</v>
      </c>
      <c r="I31" s="221">
        <f t="shared" si="1"/>
        <v>0</v>
      </c>
      <c r="J31" s="829" t="str">
        <f t="shared" si="2"/>
        <v/>
      </c>
      <c r="K31" s="517">
        <f t="shared" si="12"/>
        <v>0</v>
      </c>
    </row>
    <row r="32" spans="1:11" ht="12.75" customHeight="1" x14ac:dyDescent="0.25">
      <c r="A32" s="694" t="s">
        <v>1272</v>
      </c>
      <c r="B32" s="142"/>
      <c r="C32" s="526">
        <v>0</v>
      </c>
      <c r="D32" s="328">
        <v>0</v>
      </c>
      <c r="E32" s="329">
        <v>0</v>
      </c>
      <c r="F32" s="329">
        <v>0</v>
      </c>
      <c r="G32" s="329">
        <v>0</v>
      </c>
      <c r="H32" s="329">
        <f t="shared" si="11"/>
        <v>0</v>
      </c>
      <c r="I32" s="221">
        <f t="shared" si="1"/>
        <v>0</v>
      </c>
      <c r="J32" s="829" t="str">
        <f t="shared" si="2"/>
        <v/>
      </c>
      <c r="K32" s="517">
        <f t="shared" si="12"/>
        <v>0</v>
      </c>
    </row>
    <row r="33" spans="1:11" ht="12.75" customHeight="1" x14ac:dyDescent="0.25">
      <c r="A33" s="694" t="s">
        <v>1273</v>
      </c>
      <c r="B33" s="142"/>
      <c r="C33" s="526">
        <v>0</v>
      </c>
      <c r="D33" s="328">
        <v>0</v>
      </c>
      <c r="E33" s="329">
        <v>0</v>
      </c>
      <c r="F33" s="329">
        <v>0</v>
      </c>
      <c r="G33" s="329">
        <v>0</v>
      </c>
      <c r="H33" s="329">
        <f t="shared" si="11"/>
        <v>0</v>
      </c>
      <c r="I33" s="221">
        <f t="shared" si="1"/>
        <v>0</v>
      </c>
      <c r="J33" s="829" t="str">
        <f t="shared" si="2"/>
        <v/>
      </c>
      <c r="K33" s="517">
        <f t="shared" si="12"/>
        <v>0</v>
      </c>
    </row>
    <row r="34" spans="1:11" ht="12.75" customHeight="1" x14ac:dyDescent="0.25">
      <c r="A34" s="694" t="s">
        <v>1274</v>
      </c>
      <c r="B34" s="142"/>
      <c r="C34" s="526">
        <v>5387318.0999999996</v>
      </c>
      <c r="D34" s="328">
        <v>1800000</v>
      </c>
      <c r="E34" s="329">
        <v>1800000</v>
      </c>
      <c r="F34" s="329">
        <v>200000</v>
      </c>
      <c r="G34" s="329">
        <v>1734497.91</v>
      </c>
      <c r="H34" s="329">
        <f t="shared" si="11"/>
        <v>1800000</v>
      </c>
      <c r="I34" s="221">
        <f t="shared" si="1"/>
        <v>65502.090000000084</v>
      </c>
      <c r="J34" s="829">
        <f t="shared" si="2"/>
        <v>3.6390050000000049E-2</v>
      </c>
      <c r="K34" s="517">
        <f t="shared" si="12"/>
        <v>1800000</v>
      </c>
    </row>
    <row r="35" spans="1:11" ht="12.75" customHeight="1" x14ac:dyDescent="0.25">
      <c r="A35" s="694" t="s">
        <v>1275</v>
      </c>
      <c r="B35" s="142"/>
      <c r="C35" s="526">
        <v>0</v>
      </c>
      <c r="D35" s="328">
        <v>0</v>
      </c>
      <c r="E35" s="329">
        <v>0</v>
      </c>
      <c r="F35" s="329">
        <v>0</v>
      </c>
      <c r="G35" s="329">
        <v>0</v>
      </c>
      <c r="H35" s="329">
        <f t="shared" si="11"/>
        <v>0</v>
      </c>
      <c r="I35" s="221">
        <f t="shared" si="1"/>
        <v>0</v>
      </c>
      <c r="J35" s="829" t="str">
        <f t="shared" si="2"/>
        <v/>
      </c>
      <c r="K35" s="517">
        <f t="shared" si="12"/>
        <v>0</v>
      </c>
    </row>
    <row r="36" spans="1:11" ht="12.75" customHeight="1" x14ac:dyDescent="0.25">
      <c r="A36" s="694" t="s">
        <v>1276</v>
      </c>
      <c r="B36" s="142"/>
      <c r="C36" s="526">
        <v>0</v>
      </c>
      <c r="D36" s="328">
        <v>0</v>
      </c>
      <c r="E36" s="329">
        <v>0</v>
      </c>
      <c r="F36" s="329">
        <v>0</v>
      </c>
      <c r="G36" s="329">
        <v>0</v>
      </c>
      <c r="H36" s="329">
        <f t="shared" si="11"/>
        <v>0</v>
      </c>
      <c r="I36" s="221">
        <f t="shared" si="1"/>
        <v>0</v>
      </c>
      <c r="J36" s="829" t="str">
        <f t="shared" si="2"/>
        <v/>
      </c>
      <c r="K36" s="517">
        <f t="shared" si="12"/>
        <v>0</v>
      </c>
    </row>
    <row r="37" spans="1:11" ht="12.75" customHeight="1" x14ac:dyDescent="0.25">
      <c r="A37" s="694" t="s">
        <v>1253</v>
      </c>
      <c r="B37" s="142"/>
      <c r="C37" s="526">
        <v>0</v>
      </c>
      <c r="D37" s="328">
        <v>0</v>
      </c>
      <c r="E37" s="329">
        <v>0</v>
      </c>
      <c r="F37" s="329">
        <v>0</v>
      </c>
      <c r="G37" s="329">
        <v>0</v>
      </c>
      <c r="H37" s="329">
        <f t="shared" si="11"/>
        <v>0</v>
      </c>
      <c r="I37" s="221">
        <f t="shared" si="1"/>
        <v>0</v>
      </c>
      <c r="J37" s="829" t="str">
        <f t="shared" si="2"/>
        <v/>
      </c>
      <c r="K37" s="517">
        <f t="shared" si="12"/>
        <v>0</v>
      </c>
    </row>
    <row r="38" spans="1:11" ht="12.75" customHeight="1" x14ac:dyDescent="0.25">
      <c r="A38" s="828" t="s">
        <v>1277</v>
      </c>
      <c r="B38" s="142"/>
      <c r="C38" s="111">
        <f t="shared" ref="C38:H38" si="13">SUM(C39:C44)</f>
        <v>4233013.03</v>
      </c>
      <c r="D38" s="43">
        <f t="shared" si="13"/>
        <v>1000000</v>
      </c>
      <c r="E38" s="41">
        <f t="shared" si="13"/>
        <v>2270148</v>
      </c>
      <c r="F38" s="41">
        <f t="shared" si="13"/>
        <v>-2.3283064365386963E-9</v>
      </c>
      <c r="G38" s="41">
        <f t="shared" si="13"/>
        <v>2235226.290000001</v>
      </c>
      <c r="H38" s="41">
        <f t="shared" si="13"/>
        <v>2270148</v>
      </c>
      <c r="I38" s="221">
        <f t="shared" si="1"/>
        <v>34921.709999999031</v>
      </c>
      <c r="J38" s="829">
        <f t="shared" si="2"/>
        <v>1.5383010270695581E-2</v>
      </c>
      <c r="K38" s="119">
        <f>SUM(K39:K44)</f>
        <v>2270148</v>
      </c>
    </row>
    <row r="39" spans="1:11" ht="12.75" customHeight="1" x14ac:dyDescent="0.25">
      <c r="A39" s="694" t="s">
        <v>1278</v>
      </c>
      <c r="B39" s="142"/>
      <c r="C39" s="526">
        <v>0</v>
      </c>
      <c r="D39" s="328">
        <v>0</v>
      </c>
      <c r="E39" s="329">
        <v>0</v>
      </c>
      <c r="F39" s="329">
        <v>0</v>
      </c>
      <c r="G39" s="329">
        <v>0</v>
      </c>
      <c r="H39" s="329">
        <f t="shared" ref="H39:H44" si="14">E39/12*$L$1</f>
        <v>0</v>
      </c>
      <c r="I39" s="221">
        <f t="shared" si="1"/>
        <v>0</v>
      </c>
      <c r="J39" s="829" t="str">
        <f t="shared" si="2"/>
        <v/>
      </c>
      <c r="K39" s="517">
        <f t="shared" ref="K39:K44" si="15">E39</f>
        <v>0</v>
      </c>
    </row>
    <row r="40" spans="1:11" ht="12.75" customHeight="1" x14ac:dyDescent="0.25">
      <c r="A40" s="694" t="s">
        <v>138</v>
      </c>
      <c r="B40" s="142"/>
      <c r="C40" s="526">
        <v>4233013.03</v>
      </c>
      <c r="D40" s="328">
        <v>1000000</v>
      </c>
      <c r="E40" s="329">
        <v>2270148</v>
      </c>
      <c r="F40" s="329">
        <v>-2.3283064365386963E-9</v>
      </c>
      <c r="G40" s="329">
        <v>2235226.290000001</v>
      </c>
      <c r="H40" s="329">
        <f t="shared" si="14"/>
        <v>2270148</v>
      </c>
      <c r="I40" s="221">
        <f t="shared" si="1"/>
        <v>34921.709999999031</v>
      </c>
      <c r="J40" s="829">
        <f t="shared" si="2"/>
        <v>1.5383010270695581E-2</v>
      </c>
      <c r="K40" s="517">
        <f t="shared" si="15"/>
        <v>2270148</v>
      </c>
    </row>
    <row r="41" spans="1:11" ht="12.75" customHeight="1" x14ac:dyDescent="0.25">
      <c r="A41" s="694" t="s">
        <v>1279</v>
      </c>
      <c r="B41" s="142"/>
      <c r="C41" s="526">
        <v>0</v>
      </c>
      <c r="D41" s="328">
        <v>0</v>
      </c>
      <c r="E41" s="329">
        <v>0</v>
      </c>
      <c r="F41" s="329">
        <v>0</v>
      </c>
      <c r="G41" s="329">
        <v>0</v>
      </c>
      <c r="H41" s="329">
        <f t="shared" si="14"/>
        <v>0</v>
      </c>
      <c r="I41" s="221">
        <f t="shared" si="1"/>
        <v>0</v>
      </c>
      <c r="J41" s="829" t="str">
        <f t="shared" si="2"/>
        <v/>
      </c>
      <c r="K41" s="517">
        <f t="shared" si="15"/>
        <v>0</v>
      </c>
    </row>
    <row r="42" spans="1:11" ht="12.75" customHeight="1" x14ac:dyDescent="0.25">
      <c r="A42" s="694" t="s">
        <v>1280</v>
      </c>
      <c r="B42" s="142"/>
      <c r="C42" s="526">
        <v>0</v>
      </c>
      <c r="D42" s="328">
        <v>0</v>
      </c>
      <c r="E42" s="329">
        <v>0</v>
      </c>
      <c r="F42" s="329">
        <v>0</v>
      </c>
      <c r="G42" s="329">
        <v>0</v>
      </c>
      <c r="H42" s="329">
        <f t="shared" si="14"/>
        <v>0</v>
      </c>
      <c r="I42" s="221">
        <f t="shared" si="1"/>
        <v>0</v>
      </c>
      <c r="J42" s="829" t="str">
        <f t="shared" si="2"/>
        <v/>
      </c>
      <c r="K42" s="517">
        <f t="shared" si="15"/>
        <v>0</v>
      </c>
    </row>
    <row r="43" spans="1:11" ht="12.75" customHeight="1" x14ac:dyDescent="0.25">
      <c r="A43" s="694" t="s">
        <v>1281</v>
      </c>
      <c r="B43" s="142"/>
      <c r="C43" s="526">
        <v>0</v>
      </c>
      <c r="D43" s="328">
        <v>0</v>
      </c>
      <c r="E43" s="329">
        <v>0</v>
      </c>
      <c r="F43" s="329">
        <v>0</v>
      </c>
      <c r="G43" s="329">
        <v>0</v>
      </c>
      <c r="H43" s="329">
        <f t="shared" si="14"/>
        <v>0</v>
      </c>
      <c r="I43" s="221">
        <f t="shared" si="1"/>
        <v>0</v>
      </c>
      <c r="J43" s="829" t="str">
        <f t="shared" si="2"/>
        <v/>
      </c>
      <c r="K43" s="517">
        <f t="shared" si="15"/>
        <v>0</v>
      </c>
    </row>
    <row r="44" spans="1:11" ht="12.75" customHeight="1" x14ac:dyDescent="0.25">
      <c r="A44" s="694" t="s">
        <v>1253</v>
      </c>
      <c r="B44" s="142"/>
      <c r="C44" s="526">
        <v>0</v>
      </c>
      <c r="D44" s="328">
        <v>0</v>
      </c>
      <c r="E44" s="329">
        <v>0</v>
      </c>
      <c r="F44" s="329">
        <v>0</v>
      </c>
      <c r="G44" s="329">
        <v>0</v>
      </c>
      <c r="H44" s="329">
        <f t="shared" si="14"/>
        <v>0</v>
      </c>
      <c r="I44" s="221">
        <f t="shared" si="1"/>
        <v>0</v>
      </c>
      <c r="J44" s="829" t="str">
        <f t="shared" si="2"/>
        <v/>
      </c>
      <c r="K44" s="517">
        <f t="shared" si="15"/>
        <v>0</v>
      </c>
    </row>
    <row r="45" spans="1:11" ht="12.75" customHeight="1" x14ac:dyDescent="0.25">
      <c r="A45" s="828" t="s">
        <v>1282</v>
      </c>
      <c r="B45" s="142"/>
      <c r="C45" s="111">
        <f t="shared" ref="C45:H45" si="16">SUM(C46:C52)</f>
        <v>1797706.8299999973</v>
      </c>
      <c r="D45" s="43">
        <f t="shared" si="16"/>
        <v>0</v>
      </c>
      <c r="E45" s="41">
        <f t="shared" si="16"/>
        <v>0</v>
      </c>
      <c r="F45" s="41">
        <f t="shared" si="16"/>
        <v>0</v>
      </c>
      <c r="G45" s="41">
        <f t="shared" si="16"/>
        <v>0</v>
      </c>
      <c r="H45" s="41">
        <f t="shared" si="16"/>
        <v>0</v>
      </c>
      <c r="I45" s="221">
        <f t="shared" si="1"/>
        <v>0</v>
      </c>
      <c r="J45" s="829" t="str">
        <f t="shared" si="2"/>
        <v/>
      </c>
      <c r="K45" s="119">
        <f>SUM(K46:K52)</f>
        <v>0</v>
      </c>
    </row>
    <row r="46" spans="1:11" ht="12.75" customHeight="1" x14ac:dyDescent="0.25">
      <c r="A46" s="694" t="s">
        <v>1283</v>
      </c>
      <c r="B46" s="142"/>
      <c r="C46" s="526">
        <v>1797706.83</v>
      </c>
      <c r="D46" s="328">
        <v>0</v>
      </c>
      <c r="E46" s="329">
        <v>0</v>
      </c>
      <c r="F46" s="329">
        <v>0</v>
      </c>
      <c r="G46" s="329">
        <v>0</v>
      </c>
      <c r="H46" s="329">
        <f t="shared" ref="H46:H52" si="17">E46/12*$L$1</f>
        <v>0</v>
      </c>
      <c r="I46" s="221">
        <f t="shared" si="1"/>
        <v>0</v>
      </c>
      <c r="J46" s="829" t="str">
        <f t="shared" si="2"/>
        <v/>
      </c>
      <c r="K46" s="517">
        <f t="shared" ref="K46:K52" si="18">E46</f>
        <v>0</v>
      </c>
    </row>
    <row r="47" spans="1:11" ht="12.75" customHeight="1" x14ac:dyDescent="0.25">
      <c r="A47" s="694" t="s">
        <v>1284</v>
      </c>
      <c r="B47" s="142"/>
      <c r="C47" s="526">
        <v>0</v>
      </c>
      <c r="D47" s="328">
        <v>0</v>
      </c>
      <c r="E47" s="329">
        <v>0</v>
      </c>
      <c r="F47" s="329">
        <v>0</v>
      </c>
      <c r="G47" s="329">
        <v>0</v>
      </c>
      <c r="H47" s="329">
        <f t="shared" si="17"/>
        <v>0</v>
      </c>
      <c r="I47" s="221">
        <f t="shared" si="1"/>
        <v>0</v>
      </c>
      <c r="J47" s="829" t="str">
        <f t="shared" si="2"/>
        <v/>
      </c>
      <c r="K47" s="517">
        <f t="shared" si="18"/>
        <v>0</v>
      </c>
    </row>
    <row r="48" spans="1:11" ht="12.75" customHeight="1" x14ac:dyDescent="0.25">
      <c r="A48" s="694" t="s">
        <v>1285</v>
      </c>
      <c r="B48" s="142"/>
      <c r="C48" s="526">
        <v>0</v>
      </c>
      <c r="D48" s="328">
        <v>0</v>
      </c>
      <c r="E48" s="329">
        <v>0</v>
      </c>
      <c r="F48" s="329">
        <v>0</v>
      </c>
      <c r="G48" s="329">
        <v>0</v>
      </c>
      <c r="H48" s="329">
        <f t="shared" si="17"/>
        <v>0</v>
      </c>
      <c r="I48" s="221">
        <f t="shared" si="1"/>
        <v>0</v>
      </c>
      <c r="J48" s="829" t="str">
        <f t="shared" si="2"/>
        <v/>
      </c>
      <c r="K48" s="517">
        <f t="shared" si="18"/>
        <v>0</v>
      </c>
    </row>
    <row r="49" spans="1:11" ht="12.75" customHeight="1" x14ac:dyDescent="0.25">
      <c r="A49" s="694" t="s">
        <v>1286</v>
      </c>
      <c r="B49" s="142"/>
      <c r="C49" s="526">
        <v>0</v>
      </c>
      <c r="D49" s="328">
        <v>0</v>
      </c>
      <c r="E49" s="329">
        <v>0</v>
      </c>
      <c r="F49" s="329">
        <v>0</v>
      </c>
      <c r="G49" s="329">
        <v>0</v>
      </c>
      <c r="H49" s="329">
        <f t="shared" si="17"/>
        <v>0</v>
      </c>
      <c r="I49" s="221">
        <f t="shared" si="1"/>
        <v>0</v>
      </c>
      <c r="J49" s="829" t="str">
        <f t="shared" si="2"/>
        <v/>
      </c>
      <c r="K49" s="517">
        <f t="shared" si="18"/>
        <v>0</v>
      </c>
    </row>
    <row r="50" spans="1:11" ht="12.75" customHeight="1" x14ac:dyDescent="0.25">
      <c r="A50" s="694" t="s">
        <v>1287</v>
      </c>
      <c r="B50" s="142"/>
      <c r="C50" s="526">
        <v>0</v>
      </c>
      <c r="D50" s="328">
        <v>0</v>
      </c>
      <c r="E50" s="329">
        <v>0</v>
      </c>
      <c r="F50" s="329">
        <v>0</v>
      </c>
      <c r="G50" s="329">
        <v>0</v>
      </c>
      <c r="H50" s="329">
        <f t="shared" si="17"/>
        <v>0</v>
      </c>
      <c r="I50" s="221">
        <f t="shared" si="1"/>
        <v>0</v>
      </c>
      <c r="J50" s="829" t="str">
        <f t="shared" si="2"/>
        <v/>
      </c>
      <c r="K50" s="517">
        <f t="shared" si="18"/>
        <v>0</v>
      </c>
    </row>
    <row r="51" spans="1:11" ht="12.75" customHeight="1" x14ac:dyDescent="0.25">
      <c r="A51" s="694" t="s">
        <v>1288</v>
      </c>
      <c r="B51" s="142"/>
      <c r="C51" s="526">
        <v>0</v>
      </c>
      <c r="D51" s="328">
        <v>0</v>
      </c>
      <c r="E51" s="329">
        <v>0</v>
      </c>
      <c r="F51" s="329">
        <v>0</v>
      </c>
      <c r="G51" s="329">
        <v>0</v>
      </c>
      <c r="H51" s="329">
        <f t="shared" si="17"/>
        <v>0</v>
      </c>
      <c r="I51" s="221">
        <f t="shared" si="1"/>
        <v>0</v>
      </c>
      <c r="J51" s="829" t="str">
        <f t="shared" si="2"/>
        <v/>
      </c>
      <c r="K51" s="517">
        <f t="shared" si="18"/>
        <v>0</v>
      </c>
    </row>
    <row r="52" spans="1:11" ht="12.75" customHeight="1" x14ac:dyDescent="0.25">
      <c r="A52" s="694" t="s">
        <v>1253</v>
      </c>
      <c r="B52" s="142"/>
      <c r="C52" s="526">
        <v>-2.7939677238464355E-9</v>
      </c>
      <c r="D52" s="328">
        <v>0</v>
      </c>
      <c r="E52" s="329">
        <v>0</v>
      </c>
      <c r="F52" s="329">
        <v>0</v>
      </c>
      <c r="G52" s="329">
        <v>0</v>
      </c>
      <c r="H52" s="329">
        <f t="shared" si="17"/>
        <v>0</v>
      </c>
      <c r="I52" s="221">
        <f t="shared" si="1"/>
        <v>0</v>
      </c>
      <c r="J52" s="829" t="str">
        <f t="shared" si="2"/>
        <v/>
      </c>
      <c r="K52" s="517">
        <f t="shared" si="18"/>
        <v>0</v>
      </c>
    </row>
    <row r="53" spans="1:11" ht="12.75" customHeight="1" x14ac:dyDescent="0.25">
      <c r="A53" s="828" t="s">
        <v>1289</v>
      </c>
      <c r="B53" s="142"/>
      <c r="C53" s="111">
        <f t="shared" ref="C53:H53" si="19">SUM(C54:C62)</f>
        <v>0</v>
      </c>
      <c r="D53" s="43">
        <f t="shared" si="19"/>
        <v>0</v>
      </c>
      <c r="E53" s="41">
        <f t="shared" si="19"/>
        <v>0</v>
      </c>
      <c r="F53" s="41">
        <f t="shared" si="19"/>
        <v>0</v>
      </c>
      <c r="G53" s="41">
        <f t="shared" si="19"/>
        <v>0</v>
      </c>
      <c r="H53" s="41">
        <f t="shared" si="19"/>
        <v>0</v>
      </c>
      <c r="I53" s="221">
        <f t="shared" si="1"/>
        <v>0</v>
      </c>
      <c r="J53" s="829" t="str">
        <f t="shared" si="2"/>
        <v/>
      </c>
      <c r="K53" s="119">
        <f>SUM(K54:K62)</f>
        <v>0</v>
      </c>
    </row>
    <row r="54" spans="1:11" ht="12.75" customHeight="1" x14ac:dyDescent="0.25">
      <c r="A54" s="694" t="s">
        <v>1290</v>
      </c>
      <c r="B54" s="142"/>
      <c r="C54" s="526">
        <v>0</v>
      </c>
      <c r="D54" s="328">
        <v>0</v>
      </c>
      <c r="E54" s="329">
        <v>0</v>
      </c>
      <c r="F54" s="329">
        <v>0</v>
      </c>
      <c r="G54" s="329">
        <v>0</v>
      </c>
      <c r="H54" s="329">
        <f t="shared" ref="H54:H62" si="20">E54/12*$L$1</f>
        <v>0</v>
      </c>
      <c r="I54" s="221">
        <f t="shared" si="1"/>
        <v>0</v>
      </c>
      <c r="J54" s="829" t="str">
        <f t="shared" si="2"/>
        <v/>
      </c>
      <c r="K54" s="517">
        <f t="shared" ref="K54:K62" si="21">E54</f>
        <v>0</v>
      </c>
    </row>
    <row r="55" spans="1:11" ht="12.75" customHeight="1" x14ac:dyDescent="0.25">
      <c r="A55" s="694" t="s">
        <v>1291</v>
      </c>
      <c r="B55" s="142"/>
      <c r="C55" s="526">
        <v>0</v>
      </c>
      <c r="D55" s="328">
        <v>0</v>
      </c>
      <c r="E55" s="329">
        <v>0</v>
      </c>
      <c r="F55" s="329">
        <v>0</v>
      </c>
      <c r="G55" s="329">
        <v>0</v>
      </c>
      <c r="H55" s="329">
        <f t="shared" si="20"/>
        <v>0</v>
      </c>
      <c r="I55" s="221">
        <f t="shared" si="1"/>
        <v>0</v>
      </c>
      <c r="J55" s="829" t="str">
        <f t="shared" si="2"/>
        <v/>
      </c>
      <c r="K55" s="517">
        <f t="shared" si="21"/>
        <v>0</v>
      </c>
    </row>
    <row r="56" spans="1:11" ht="12.75" customHeight="1" x14ac:dyDescent="0.25">
      <c r="A56" s="694" t="s">
        <v>1292</v>
      </c>
      <c r="B56" s="142"/>
      <c r="C56" s="526">
        <v>0</v>
      </c>
      <c r="D56" s="328">
        <v>0</v>
      </c>
      <c r="E56" s="329">
        <v>0</v>
      </c>
      <c r="F56" s="329">
        <v>0</v>
      </c>
      <c r="G56" s="329">
        <v>0</v>
      </c>
      <c r="H56" s="329">
        <f t="shared" si="20"/>
        <v>0</v>
      </c>
      <c r="I56" s="221">
        <f t="shared" si="1"/>
        <v>0</v>
      </c>
      <c r="J56" s="829" t="str">
        <f t="shared" si="2"/>
        <v/>
      </c>
      <c r="K56" s="517">
        <f t="shared" si="21"/>
        <v>0</v>
      </c>
    </row>
    <row r="57" spans="1:11" ht="12.75" customHeight="1" x14ac:dyDescent="0.25">
      <c r="A57" s="694" t="s">
        <v>1255</v>
      </c>
      <c r="B57" s="142"/>
      <c r="C57" s="526">
        <v>0</v>
      </c>
      <c r="D57" s="328">
        <v>0</v>
      </c>
      <c r="E57" s="329">
        <v>0</v>
      </c>
      <c r="F57" s="329">
        <v>0</v>
      </c>
      <c r="G57" s="329">
        <v>0</v>
      </c>
      <c r="H57" s="329">
        <f t="shared" si="20"/>
        <v>0</v>
      </c>
      <c r="I57" s="221">
        <f t="shared" si="1"/>
        <v>0</v>
      </c>
      <c r="J57" s="829" t="str">
        <f t="shared" si="2"/>
        <v/>
      </c>
      <c r="K57" s="517">
        <f t="shared" si="21"/>
        <v>0</v>
      </c>
    </row>
    <row r="58" spans="1:11" ht="12.75" customHeight="1" x14ac:dyDescent="0.25">
      <c r="A58" s="694" t="s">
        <v>1256</v>
      </c>
      <c r="B58" s="142"/>
      <c r="C58" s="526">
        <v>0</v>
      </c>
      <c r="D58" s="328">
        <v>0</v>
      </c>
      <c r="E58" s="329">
        <v>0</v>
      </c>
      <c r="F58" s="329">
        <v>0</v>
      </c>
      <c r="G58" s="329">
        <v>0</v>
      </c>
      <c r="H58" s="329">
        <f t="shared" si="20"/>
        <v>0</v>
      </c>
      <c r="I58" s="221">
        <f t="shared" si="1"/>
        <v>0</v>
      </c>
      <c r="J58" s="829" t="str">
        <f t="shared" si="2"/>
        <v/>
      </c>
      <c r="K58" s="517">
        <f t="shared" si="21"/>
        <v>0</v>
      </c>
    </row>
    <row r="59" spans="1:11" ht="12.75" customHeight="1" x14ac:dyDescent="0.25">
      <c r="A59" s="694" t="s">
        <v>1257</v>
      </c>
      <c r="B59" s="142"/>
      <c r="C59" s="526">
        <v>0</v>
      </c>
      <c r="D59" s="328">
        <v>0</v>
      </c>
      <c r="E59" s="329">
        <v>0</v>
      </c>
      <c r="F59" s="329">
        <v>0</v>
      </c>
      <c r="G59" s="329">
        <v>0</v>
      </c>
      <c r="H59" s="329">
        <f t="shared" si="20"/>
        <v>0</v>
      </c>
      <c r="I59" s="221">
        <f t="shared" si="1"/>
        <v>0</v>
      </c>
      <c r="J59" s="829" t="str">
        <f t="shared" si="2"/>
        <v/>
      </c>
      <c r="K59" s="517">
        <f t="shared" si="21"/>
        <v>0</v>
      </c>
    </row>
    <row r="60" spans="1:11" ht="12.75" customHeight="1" x14ac:dyDescent="0.25">
      <c r="A60" s="694" t="s">
        <v>1263</v>
      </c>
      <c r="B60" s="142"/>
      <c r="C60" s="526">
        <v>0</v>
      </c>
      <c r="D60" s="328">
        <v>0</v>
      </c>
      <c r="E60" s="329">
        <v>0</v>
      </c>
      <c r="F60" s="329">
        <v>0</v>
      </c>
      <c r="G60" s="329">
        <v>0</v>
      </c>
      <c r="H60" s="329">
        <f t="shared" si="20"/>
        <v>0</v>
      </c>
      <c r="I60" s="221">
        <f t="shared" si="1"/>
        <v>0</v>
      </c>
      <c r="J60" s="829" t="str">
        <f t="shared" si="2"/>
        <v/>
      </c>
      <c r="K60" s="517">
        <f t="shared" si="21"/>
        <v>0</v>
      </c>
    </row>
    <row r="61" spans="1:11" ht="12.75" customHeight="1" x14ac:dyDescent="0.25">
      <c r="A61" s="694" t="s">
        <v>1266</v>
      </c>
      <c r="B61" s="142"/>
      <c r="C61" s="526">
        <v>0</v>
      </c>
      <c r="D61" s="328">
        <v>0</v>
      </c>
      <c r="E61" s="329">
        <v>0</v>
      </c>
      <c r="F61" s="329">
        <v>0</v>
      </c>
      <c r="G61" s="329">
        <v>0</v>
      </c>
      <c r="H61" s="329">
        <f t="shared" si="20"/>
        <v>0</v>
      </c>
      <c r="I61" s="221">
        <f t="shared" si="1"/>
        <v>0</v>
      </c>
      <c r="J61" s="829" t="str">
        <f t="shared" si="2"/>
        <v/>
      </c>
      <c r="K61" s="517">
        <f t="shared" si="21"/>
        <v>0</v>
      </c>
    </row>
    <row r="62" spans="1:11" ht="12.75" customHeight="1" x14ac:dyDescent="0.25">
      <c r="A62" s="694" t="s">
        <v>1253</v>
      </c>
      <c r="B62" s="142"/>
      <c r="C62" s="526">
        <v>0</v>
      </c>
      <c r="D62" s="328">
        <v>0</v>
      </c>
      <c r="E62" s="329">
        <v>0</v>
      </c>
      <c r="F62" s="329">
        <v>0</v>
      </c>
      <c r="G62" s="329">
        <v>0</v>
      </c>
      <c r="H62" s="329">
        <f t="shared" si="20"/>
        <v>0</v>
      </c>
      <c r="I62" s="221">
        <f t="shared" si="1"/>
        <v>0</v>
      </c>
      <c r="J62" s="829" t="str">
        <f t="shared" si="2"/>
        <v/>
      </c>
      <c r="K62" s="517">
        <f t="shared" si="21"/>
        <v>0</v>
      </c>
    </row>
    <row r="63" spans="1:11" ht="12.75" customHeight="1" x14ac:dyDescent="0.25">
      <c r="A63" s="828" t="s">
        <v>1293</v>
      </c>
      <c r="B63" s="142"/>
      <c r="C63" s="111">
        <f t="shared" ref="C63:H63" si="22">SUM(C64:C68)</f>
        <v>0</v>
      </c>
      <c r="D63" s="43">
        <f t="shared" si="22"/>
        <v>0</v>
      </c>
      <c r="E63" s="41">
        <f t="shared" si="22"/>
        <v>0</v>
      </c>
      <c r="F63" s="41">
        <f t="shared" si="22"/>
        <v>0</v>
      </c>
      <c r="G63" s="41">
        <f t="shared" si="22"/>
        <v>0</v>
      </c>
      <c r="H63" s="41">
        <f t="shared" si="22"/>
        <v>0</v>
      </c>
      <c r="I63" s="221">
        <f t="shared" si="1"/>
        <v>0</v>
      </c>
      <c r="J63" s="829" t="str">
        <f t="shared" si="2"/>
        <v/>
      </c>
      <c r="K63" s="119">
        <f>SUM(K64:K68)</f>
        <v>0</v>
      </c>
    </row>
    <row r="64" spans="1:11" ht="12.75" customHeight="1" x14ac:dyDescent="0.25">
      <c r="A64" s="694" t="s">
        <v>1294</v>
      </c>
      <c r="B64" s="142"/>
      <c r="C64" s="526">
        <v>0</v>
      </c>
      <c r="D64" s="328">
        <v>0</v>
      </c>
      <c r="E64" s="329">
        <v>0</v>
      </c>
      <c r="F64" s="329">
        <v>0</v>
      </c>
      <c r="G64" s="329">
        <v>0</v>
      </c>
      <c r="H64" s="329">
        <f t="shared" ref="H64:H68" si="23">E64/12*$L$1</f>
        <v>0</v>
      </c>
      <c r="I64" s="221">
        <f t="shared" si="1"/>
        <v>0</v>
      </c>
      <c r="J64" s="829" t="str">
        <f t="shared" si="2"/>
        <v/>
      </c>
      <c r="K64" s="517">
        <f>E64</f>
        <v>0</v>
      </c>
    </row>
    <row r="65" spans="1:11" ht="12.75" customHeight="1" x14ac:dyDescent="0.25">
      <c r="A65" s="694" t="s">
        <v>1295</v>
      </c>
      <c r="B65" s="142"/>
      <c r="C65" s="526">
        <v>0</v>
      </c>
      <c r="D65" s="328">
        <v>0</v>
      </c>
      <c r="E65" s="329">
        <v>0</v>
      </c>
      <c r="F65" s="329">
        <v>0</v>
      </c>
      <c r="G65" s="329">
        <v>0</v>
      </c>
      <c r="H65" s="329">
        <f t="shared" si="23"/>
        <v>0</v>
      </c>
      <c r="I65" s="221">
        <f t="shared" si="1"/>
        <v>0</v>
      </c>
      <c r="J65" s="829" t="str">
        <f t="shared" si="2"/>
        <v/>
      </c>
      <c r="K65" s="517">
        <f>E65</f>
        <v>0</v>
      </c>
    </row>
    <row r="66" spans="1:11" ht="12.75" customHeight="1" x14ac:dyDescent="0.25">
      <c r="A66" s="694" t="s">
        <v>1296</v>
      </c>
      <c r="B66" s="142"/>
      <c r="C66" s="526">
        <v>0</v>
      </c>
      <c r="D66" s="328">
        <v>0</v>
      </c>
      <c r="E66" s="329">
        <v>0</v>
      </c>
      <c r="F66" s="329">
        <v>0</v>
      </c>
      <c r="G66" s="329">
        <v>0</v>
      </c>
      <c r="H66" s="329">
        <f t="shared" si="23"/>
        <v>0</v>
      </c>
      <c r="I66" s="221">
        <f t="shared" si="1"/>
        <v>0</v>
      </c>
      <c r="J66" s="829" t="str">
        <f t="shared" si="2"/>
        <v/>
      </c>
      <c r="K66" s="517">
        <f>E66</f>
        <v>0</v>
      </c>
    </row>
    <row r="67" spans="1:11" ht="12.75" customHeight="1" x14ac:dyDescent="0.25">
      <c r="A67" s="694" t="s">
        <v>1297</v>
      </c>
      <c r="B67" s="142"/>
      <c r="C67" s="526">
        <v>0</v>
      </c>
      <c r="D67" s="328">
        <v>0</v>
      </c>
      <c r="E67" s="329">
        <v>0</v>
      </c>
      <c r="F67" s="329">
        <v>0</v>
      </c>
      <c r="G67" s="329">
        <v>0</v>
      </c>
      <c r="H67" s="329">
        <f t="shared" si="23"/>
        <v>0</v>
      </c>
      <c r="I67" s="221">
        <f t="shared" si="1"/>
        <v>0</v>
      </c>
      <c r="J67" s="829" t="str">
        <f t="shared" si="2"/>
        <v/>
      </c>
      <c r="K67" s="517">
        <f>E67</f>
        <v>0</v>
      </c>
    </row>
    <row r="68" spans="1:11" ht="12.75" customHeight="1" x14ac:dyDescent="0.25">
      <c r="A68" s="694" t="s">
        <v>1253</v>
      </c>
      <c r="B68" s="142"/>
      <c r="C68" s="526">
        <v>0</v>
      </c>
      <c r="D68" s="328">
        <v>0</v>
      </c>
      <c r="E68" s="329">
        <v>0</v>
      </c>
      <c r="F68" s="329">
        <v>0</v>
      </c>
      <c r="G68" s="329">
        <v>0</v>
      </c>
      <c r="H68" s="329">
        <f t="shared" si="23"/>
        <v>0</v>
      </c>
      <c r="I68" s="221">
        <f t="shared" si="1"/>
        <v>0</v>
      </c>
      <c r="J68" s="829" t="str">
        <f t="shared" si="2"/>
        <v/>
      </c>
      <c r="K68" s="517">
        <f>E68</f>
        <v>0</v>
      </c>
    </row>
    <row r="69" spans="1:11" ht="12.75" customHeight="1" x14ac:dyDescent="0.25">
      <c r="A69" s="828" t="s">
        <v>1298</v>
      </c>
      <c r="B69" s="142"/>
      <c r="C69" s="111">
        <f t="shared" ref="C69:H69" si="24">SUM(C70:C73)</f>
        <v>0</v>
      </c>
      <c r="D69" s="43">
        <f t="shared" si="24"/>
        <v>0</v>
      </c>
      <c r="E69" s="41">
        <f t="shared" si="24"/>
        <v>0</v>
      </c>
      <c r="F69" s="41">
        <f t="shared" si="24"/>
        <v>0</v>
      </c>
      <c r="G69" s="41">
        <f t="shared" si="24"/>
        <v>0</v>
      </c>
      <c r="H69" s="41">
        <f t="shared" si="24"/>
        <v>0</v>
      </c>
      <c r="I69" s="221">
        <f t="shared" si="1"/>
        <v>0</v>
      </c>
      <c r="J69" s="829" t="str">
        <f t="shared" si="2"/>
        <v/>
      </c>
      <c r="K69" s="119">
        <f>SUM(K70:K73)</f>
        <v>0</v>
      </c>
    </row>
    <row r="70" spans="1:11" ht="12.75" customHeight="1" x14ac:dyDescent="0.25">
      <c r="A70" s="694" t="s">
        <v>1299</v>
      </c>
      <c r="B70" s="142"/>
      <c r="C70" s="526">
        <v>0</v>
      </c>
      <c r="D70" s="328">
        <v>0</v>
      </c>
      <c r="E70" s="329">
        <v>0</v>
      </c>
      <c r="F70" s="329">
        <v>0</v>
      </c>
      <c r="G70" s="329">
        <v>0</v>
      </c>
      <c r="H70" s="329">
        <f t="shared" ref="H70:H73" si="25">E70/12*$L$1</f>
        <v>0</v>
      </c>
      <c r="I70" s="221">
        <f t="shared" si="1"/>
        <v>0</v>
      </c>
      <c r="J70" s="829" t="str">
        <f t="shared" si="2"/>
        <v/>
      </c>
      <c r="K70" s="517">
        <f>E70</f>
        <v>0</v>
      </c>
    </row>
    <row r="71" spans="1:11" ht="12.75" customHeight="1" x14ac:dyDescent="0.25">
      <c r="A71" s="694" t="s">
        <v>1300</v>
      </c>
      <c r="B71" s="142"/>
      <c r="C71" s="526">
        <v>0</v>
      </c>
      <c r="D71" s="328">
        <v>0</v>
      </c>
      <c r="E71" s="329">
        <v>0</v>
      </c>
      <c r="F71" s="329">
        <v>0</v>
      </c>
      <c r="G71" s="329">
        <v>0</v>
      </c>
      <c r="H71" s="329">
        <f t="shared" si="25"/>
        <v>0</v>
      </c>
      <c r="I71" s="221">
        <f t="shared" si="1"/>
        <v>0</v>
      </c>
      <c r="J71" s="829" t="str">
        <f t="shared" si="2"/>
        <v/>
      </c>
      <c r="K71" s="517">
        <f>E71</f>
        <v>0</v>
      </c>
    </row>
    <row r="72" spans="1:11" ht="12.75" customHeight="1" x14ac:dyDescent="0.25">
      <c r="A72" s="694" t="s">
        <v>1301</v>
      </c>
      <c r="B72" s="142"/>
      <c r="C72" s="526">
        <v>0</v>
      </c>
      <c r="D72" s="328">
        <v>0</v>
      </c>
      <c r="E72" s="329">
        <v>0</v>
      </c>
      <c r="F72" s="329">
        <v>0</v>
      </c>
      <c r="G72" s="329">
        <v>0</v>
      </c>
      <c r="H72" s="329">
        <f t="shared" si="25"/>
        <v>0</v>
      </c>
      <c r="I72" s="221">
        <f t="shared" si="1"/>
        <v>0</v>
      </c>
      <c r="J72" s="829" t="str">
        <f t="shared" si="2"/>
        <v/>
      </c>
      <c r="K72" s="517">
        <f>E72</f>
        <v>0</v>
      </c>
    </row>
    <row r="73" spans="1:11" ht="12.75" customHeight="1" x14ac:dyDescent="0.25">
      <c r="A73" s="694" t="s">
        <v>1253</v>
      </c>
      <c r="B73" s="142"/>
      <c r="C73" s="526">
        <v>0</v>
      </c>
      <c r="D73" s="328">
        <v>0</v>
      </c>
      <c r="E73" s="329">
        <v>0</v>
      </c>
      <c r="F73" s="329">
        <v>0</v>
      </c>
      <c r="G73" s="329">
        <v>0</v>
      </c>
      <c r="H73" s="329">
        <f t="shared" si="25"/>
        <v>0</v>
      </c>
      <c r="I73" s="221">
        <f t="shared" si="1"/>
        <v>0</v>
      </c>
      <c r="J73" s="829" t="str">
        <f t="shared" si="2"/>
        <v/>
      </c>
      <c r="K73" s="517">
        <f>E73</f>
        <v>0</v>
      </c>
    </row>
    <row r="74" spans="1:11" ht="5.25" customHeight="1" x14ac:dyDescent="0.25">
      <c r="A74" s="694"/>
      <c r="B74" s="142"/>
      <c r="C74" s="111"/>
      <c r="D74" s="43"/>
      <c r="E74" s="41"/>
      <c r="F74" s="41"/>
      <c r="G74" s="41"/>
      <c r="H74" s="41"/>
      <c r="I74" s="221"/>
      <c r="J74" s="829" t="str">
        <f t="shared" si="2"/>
        <v/>
      </c>
      <c r="K74" s="119"/>
    </row>
    <row r="75" spans="1:11" ht="12.75" customHeight="1" x14ac:dyDescent="0.25">
      <c r="A75" s="32" t="s">
        <v>1322</v>
      </c>
      <c r="B75" s="142"/>
      <c r="C75" s="472">
        <f>+C76+C99</f>
        <v>2938147.5</v>
      </c>
      <c r="D75" s="830">
        <f>D76+D99</f>
        <v>200000</v>
      </c>
      <c r="E75" s="474">
        <f>E76+E99</f>
        <v>200000</v>
      </c>
      <c r="F75" s="474">
        <f>+F76+F99</f>
        <v>0</v>
      </c>
      <c r="G75" s="474">
        <f>+G76+G99</f>
        <v>254119.92</v>
      </c>
      <c r="H75" s="474">
        <f>+H76+H99</f>
        <v>200000</v>
      </c>
      <c r="I75" s="474">
        <f t="shared" si="1"/>
        <v>-54119.920000000013</v>
      </c>
      <c r="J75" s="827">
        <f t="shared" si="2"/>
        <v>-0.27059960000000005</v>
      </c>
      <c r="K75" s="476">
        <f>+K76+K99</f>
        <v>200000</v>
      </c>
    </row>
    <row r="76" spans="1:11" ht="12.75" customHeight="1" x14ac:dyDescent="0.25">
      <c r="A76" s="828" t="s">
        <v>1302</v>
      </c>
      <c r="B76" s="142"/>
      <c r="C76" s="111">
        <f t="shared" ref="C76:H76" si="26">SUM(C77:C98)</f>
        <v>2938147.5</v>
      </c>
      <c r="D76" s="43">
        <f t="shared" si="26"/>
        <v>200000</v>
      </c>
      <c r="E76" s="41">
        <f t="shared" si="26"/>
        <v>200000</v>
      </c>
      <c r="F76" s="41">
        <f t="shared" si="26"/>
        <v>0</v>
      </c>
      <c r="G76" s="41">
        <f t="shared" si="26"/>
        <v>254119.92</v>
      </c>
      <c r="H76" s="41">
        <f t="shared" si="26"/>
        <v>200000</v>
      </c>
      <c r="I76" s="221">
        <f t="shared" si="1"/>
        <v>-54119.920000000013</v>
      </c>
      <c r="J76" s="829">
        <f t="shared" si="2"/>
        <v>-0.27059960000000005</v>
      </c>
      <c r="K76" s="119">
        <f>SUM(K77:K98)</f>
        <v>200000</v>
      </c>
    </row>
    <row r="77" spans="1:11" ht="12.75" customHeight="1" x14ac:dyDescent="0.25">
      <c r="A77" s="694" t="s">
        <v>1303</v>
      </c>
      <c r="B77" s="142"/>
      <c r="C77" s="526">
        <v>0</v>
      </c>
      <c r="D77" s="531">
        <v>0</v>
      </c>
      <c r="E77" s="329">
        <v>0</v>
      </c>
      <c r="F77" s="329">
        <v>0</v>
      </c>
      <c r="G77" s="329">
        <v>0</v>
      </c>
      <c r="H77" s="329">
        <f t="shared" ref="H77:H98" si="27">E77/12*$L$1</f>
        <v>0</v>
      </c>
      <c r="I77" s="41">
        <f t="shared" si="1"/>
        <v>0</v>
      </c>
      <c r="J77" s="826" t="str">
        <f t="shared" si="2"/>
        <v/>
      </c>
      <c r="K77" s="517">
        <f t="shared" ref="K77:K98" si="28">E77</f>
        <v>0</v>
      </c>
    </row>
    <row r="78" spans="1:11" ht="12.75" customHeight="1" x14ac:dyDescent="0.25">
      <c r="A78" s="694" t="s">
        <v>1304</v>
      </c>
      <c r="B78" s="142"/>
      <c r="C78" s="526">
        <v>42207.5</v>
      </c>
      <c r="D78" s="531">
        <v>0</v>
      </c>
      <c r="E78" s="329">
        <v>0</v>
      </c>
      <c r="F78" s="329">
        <v>0</v>
      </c>
      <c r="G78" s="329">
        <v>0</v>
      </c>
      <c r="H78" s="329">
        <f t="shared" si="27"/>
        <v>0</v>
      </c>
      <c r="I78" s="41">
        <f t="shared" si="1"/>
        <v>0</v>
      </c>
      <c r="J78" s="826" t="str">
        <f t="shared" si="2"/>
        <v/>
      </c>
      <c r="K78" s="517">
        <f t="shared" si="28"/>
        <v>0</v>
      </c>
    </row>
    <row r="79" spans="1:11" ht="12.75" customHeight="1" x14ac:dyDescent="0.25">
      <c r="A79" s="694" t="s">
        <v>1305</v>
      </c>
      <c r="B79" s="142"/>
      <c r="C79" s="526">
        <v>0</v>
      </c>
      <c r="D79" s="531">
        <v>0</v>
      </c>
      <c r="E79" s="329">
        <v>0</v>
      </c>
      <c r="F79" s="329">
        <v>0</v>
      </c>
      <c r="G79" s="329">
        <v>0</v>
      </c>
      <c r="H79" s="329">
        <f t="shared" si="27"/>
        <v>0</v>
      </c>
      <c r="I79" s="41">
        <f t="shared" si="1"/>
        <v>0</v>
      </c>
      <c r="J79" s="826" t="str">
        <f t="shared" si="2"/>
        <v/>
      </c>
      <c r="K79" s="517">
        <f t="shared" si="28"/>
        <v>0</v>
      </c>
    </row>
    <row r="80" spans="1:11" ht="12.75" customHeight="1" x14ac:dyDescent="0.25">
      <c r="A80" s="694" t="s">
        <v>1306</v>
      </c>
      <c r="B80" s="142"/>
      <c r="C80" s="526">
        <v>0</v>
      </c>
      <c r="D80" s="531">
        <v>0</v>
      </c>
      <c r="E80" s="329">
        <v>0</v>
      </c>
      <c r="F80" s="329">
        <v>0</v>
      </c>
      <c r="G80" s="329">
        <v>0</v>
      </c>
      <c r="H80" s="329">
        <f t="shared" si="27"/>
        <v>0</v>
      </c>
      <c r="I80" s="41">
        <f t="shared" si="1"/>
        <v>0</v>
      </c>
      <c r="J80" s="826" t="str">
        <f t="shared" si="2"/>
        <v/>
      </c>
      <c r="K80" s="517">
        <f t="shared" si="28"/>
        <v>0</v>
      </c>
    </row>
    <row r="81" spans="1:11" ht="12.75" customHeight="1" x14ac:dyDescent="0.25">
      <c r="A81" s="694" t="s">
        <v>1307</v>
      </c>
      <c r="B81" s="142"/>
      <c r="C81" s="526">
        <v>45300</v>
      </c>
      <c r="D81" s="531">
        <v>0</v>
      </c>
      <c r="E81" s="329">
        <v>0</v>
      </c>
      <c r="F81" s="329">
        <v>0</v>
      </c>
      <c r="G81" s="329">
        <v>0</v>
      </c>
      <c r="H81" s="329">
        <f t="shared" si="27"/>
        <v>0</v>
      </c>
      <c r="I81" s="41">
        <f t="shared" si="1"/>
        <v>0</v>
      </c>
      <c r="J81" s="826" t="str">
        <f t="shared" si="2"/>
        <v/>
      </c>
      <c r="K81" s="517">
        <f t="shared" si="28"/>
        <v>0</v>
      </c>
    </row>
    <row r="82" spans="1:11" ht="12.75" customHeight="1" x14ac:dyDescent="0.25">
      <c r="A82" s="694" t="s">
        <v>1308</v>
      </c>
      <c r="B82" s="142"/>
      <c r="C82" s="526">
        <v>0</v>
      </c>
      <c r="D82" s="531">
        <v>200000</v>
      </c>
      <c r="E82" s="329">
        <v>200000</v>
      </c>
      <c r="F82" s="329">
        <v>0</v>
      </c>
      <c r="G82" s="329">
        <v>254119.92</v>
      </c>
      <c r="H82" s="329">
        <f t="shared" si="27"/>
        <v>200000</v>
      </c>
      <c r="I82" s="41">
        <f t="shared" si="1"/>
        <v>-54119.920000000013</v>
      </c>
      <c r="J82" s="826">
        <f t="shared" si="2"/>
        <v>-0.27059960000000005</v>
      </c>
      <c r="K82" s="517">
        <f t="shared" si="28"/>
        <v>200000</v>
      </c>
    </row>
    <row r="83" spans="1:11" ht="12.75" customHeight="1" x14ac:dyDescent="0.25">
      <c r="A83" s="694" t="s">
        <v>1309</v>
      </c>
      <c r="B83" s="142"/>
      <c r="C83" s="526">
        <v>0</v>
      </c>
      <c r="D83" s="531">
        <v>0</v>
      </c>
      <c r="E83" s="329">
        <v>0</v>
      </c>
      <c r="F83" s="329">
        <v>0</v>
      </c>
      <c r="G83" s="329">
        <v>0</v>
      </c>
      <c r="H83" s="329">
        <f t="shared" si="27"/>
        <v>0</v>
      </c>
      <c r="I83" s="41">
        <f t="shared" si="1"/>
        <v>0</v>
      </c>
      <c r="J83" s="826" t="str">
        <f t="shared" si="2"/>
        <v/>
      </c>
      <c r="K83" s="517">
        <f t="shared" si="28"/>
        <v>0</v>
      </c>
    </row>
    <row r="84" spans="1:11" ht="12.75" customHeight="1" x14ac:dyDescent="0.25">
      <c r="A84" s="694" t="s">
        <v>1310</v>
      </c>
      <c r="B84" s="142"/>
      <c r="C84" s="526">
        <v>0</v>
      </c>
      <c r="D84" s="531">
        <v>0</v>
      </c>
      <c r="E84" s="329">
        <v>0</v>
      </c>
      <c r="F84" s="329">
        <v>0</v>
      </c>
      <c r="G84" s="329">
        <v>0</v>
      </c>
      <c r="H84" s="329">
        <f t="shared" si="27"/>
        <v>0</v>
      </c>
      <c r="I84" s="41">
        <f t="shared" si="1"/>
        <v>0</v>
      </c>
      <c r="J84" s="826" t="str">
        <f t="shared" si="2"/>
        <v/>
      </c>
      <c r="K84" s="517">
        <f t="shared" si="28"/>
        <v>0</v>
      </c>
    </row>
    <row r="85" spans="1:11" ht="12.75" customHeight="1" x14ac:dyDescent="0.25">
      <c r="A85" s="694" t="s">
        <v>1186</v>
      </c>
      <c r="B85" s="142"/>
      <c r="C85" s="526">
        <v>0</v>
      </c>
      <c r="D85" s="531">
        <v>0</v>
      </c>
      <c r="E85" s="329">
        <v>0</v>
      </c>
      <c r="F85" s="329">
        <v>0</v>
      </c>
      <c r="G85" s="329">
        <v>0</v>
      </c>
      <c r="H85" s="329">
        <f t="shared" si="27"/>
        <v>0</v>
      </c>
      <c r="I85" s="41">
        <f t="shared" si="1"/>
        <v>0</v>
      </c>
      <c r="J85" s="826" t="str">
        <f t="shared" si="2"/>
        <v/>
      </c>
      <c r="K85" s="517">
        <f t="shared" si="28"/>
        <v>0</v>
      </c>
    </row>
    <row r="86" spans="1:11" ht="12.75" customHeight="1" x14ac:dyDescent="0.25">
      <c r="A86" s="694" t="s">
        <v>564</v>
      </c>
      <c r="B86" s="142"/>
      <c r="C86" s="526">
        <v>0</v>
      </c>
      <c r="D86" s="531">
        <v>0</v>
      </c>
      <c r="E86" s="329">
        <v>0</v>
      </c>
      <c r="F86" s="329">
        <v>0</v>
      </c>
      <c r="G86" s="329">
        <v>0</v>
      </c>
      <c r="H86" s="329">
        <f t="shared" si="27"/>
        <v>0</v>
      </c>
      <c r="I86" s="41">
        <f t="shared" si="1"/>
        <v>0</v>
      </c>
      <c r="J86" s="826" t="str">
        <f t="shared" si="2"/>
        <v/>
      </c>
      <c r="K86" s="517">
        <f t="shared" si="28"/>
        <v>0</v>
      </c>
    </row>
    <row r="87" spans="1:11" ht="12.75" customHeight="1" x14ac:dyDescent="0.25">
      <c r="A87" s="694" t="s">
        <v>1311</v>
      </c>
      <c r="B87" s="142"/>
      <c r="C87" s="526">
        <v>0</v>
      </c>
      <c r="D87" s="531">
        <v>0</v>
      </c>
      <c r="E87" s="329">
        <v>0</v>
      </c>
      <c r="F87" s="329">
        <v>0</v>
      </c>
      <c r="G87" s="329">
        <v>0</v>
      </c>
      <c r="H87" s="329">
        <f t="shared" si="27"/>
        <v>0</v>
      </c>
      <c r="I87" s="41">
        <f t="shared" si="1"/>
        <v>0</v>
      </c>
      <c r="J87" s="826" t="str">
        <f t="shared" si="2"/>
        <v/>
      </c>
      <c r="K87" s="517">
        <f t="shared" si="28"/>
        <v>0</v>
      </c>
    </row>
    <row r="88" spans="1:11" ht="12.75" customHeight="1" x14ac:dyDescent="0.25">
      <c r="A88" s="694" t="s">
        <v>170</v>
      </c>
      <c r="B88" s="142"/>
      <c r="C88" s="526">
        <v>0</v>
      </c>
      <c r="D88" s="531">
        <v>0</v>
      </c>
      <c r="E88" s="329">
        <v>0</v>
      </c>
      <c r="F88" s="329">
        <v>0</v>
      </c>
      <c r="G88" s="329">
        <v>0</v>
      </c>
      <c r="H88" s="329">
        <f t="shared" si="27"/>
        <v>0</v>
      </c>
      <c r="I88" s="41">
        <f t="shared" si="1"/>
        <v>0</v>
      </c>
      <c r="J88" s="826" t="str">
        <f t="shared" si="2"/>
        <v/>
      </c>
      <c r="K88" s="517">
        <f t="shared" si="28"/>
        <v>0</v>
      </c>
    </row>
    <row r="89" spans="1:11" ht="12.75" customHeight="1" x14ac:dyDescent="0.25">
      <c r="A89" s="694" t="s">
        <v>1312</v>
      </c>
      <c r="B89" s="142"/>
      <c r="C89" s="526">
        <v>0</v>
      </c>
      <c r="D89" s="531">
        <v>0</v>
      </c>
      <c r="E89" s="329">
        <v>0</v>
      </c>
      <c r="F89" s="329">
        <v>0</v>
      </c>
      <c r="G89" s="329">
        <v>0</v>
      </c>
      <c r="H89" s="329">
        <f t="shared" si="27"/>
        <v>0</v>
      </c>
      <c r="I89" s="41">
        <f t="shared" si="1"/>
        <v>0</v>
      </c>
      <c r="J89" s="826" t="str">
        <f t="shared" si="2"/>
        <v/>
      </c>
      <c r="K89" s="517">
        <f t="shared" si="28"/>
        <v>0</v>
      </c>
    </row>
    <row r="90" spans="1:11" ht="12.75" customHeight="1" x14ac:dyDescent="0.25">
      <c r="A90" s="694" t="s">
        <v>1313</v>
      </c>
      <c r="B90" s="142"/>
      <c r="C90" s="526">
        <v>2850640</v>
      </c>
      <c r="D90" s="531">
        <v>0</v>
      </c>
      <c r="E90" s="329">
        <v>0</v>
      </c>
      <c r="F90" s="329">
        <v>0</v>
      </c>
      <c r="G90" s="329">
        <v>0</v>
      </c>
      <c r="H90" s="329">
        <f t="shared" si="27"/>
        <v>0</v>
      </c>
      <c r="I90" s="41">
        <f t="shared" si="1"/>
        <v>0</v>
      </c>
      <c r="J90" s="826" t="str">
        <f t="shared" si="2"/>
        <v/>
      </c>
      <c r="K90" s="517">
        <f t="shared" si="28"/>
        <v>0</v>
      </c>
    </row>
    <row r="91" spans="1:11" ht="12.75" customHeight="1" x14ac:dyDescent="0.25">
      <c r="A91" s="694" t="s">
        <v>1314</v>
      </c>
      <c r="B91" s="142"/>
      <c r="C91" s="526">
        <v>0</v>
      </c>
      <c r="D91" s="531">
        <v>0</v>
      </c>
      <c r="E91" s="329">
        <v>0</v>
      </c>
      <c r="F91" s="329">
        <v>0</v>
      </c>
      <c r="G91" s="329">
        <v>0</v>
      </c>
      <c r="H91" s="329">
        <f t="shared" si="27"/>
        <v>0</v>
      </c>
      <c r="I91" s="41">
        <f t="shared" si="1"/>
        <v>0</v>
      </c>
      <c r="J91" s="826" t="str">
        <f t="shared" si="2"/>
        <v/>
      </c>
      <c r="K91" s="517">
        <f t="shared" si="28"/>
        <v>0</v>
      </c>
    </row>
    <row r="92" spans="1:11" ht="12.75" customHeight="1" x14ac:dyDescent="0.25">
      <c r="A92" s="694" t="s">
        <v>1315</v>
      </c>
      <c r="B92" s="142"/>
      <c r="C92" s="526">
        <v>0</v>
      </c>
      <c r="D92" s="531">
        <v>0</v>
      </c>
      <c r="E92" s="329">
        <v>0</v>
      </c>
      <c r="F92" s="329">
        <v>0</v>
      </c>
      <c r="G92" s="329">
        <v>0</v>
      </c>
      <c r="H92" s="329">
        <f t="shared" si="27"/>
        <v>0</v>
      </c>
      <c r="I92" s="41">
        <f t="shared" si="1"/>
        <v>0</v>
      </c>
      <c r="J92" s="826" t="str">
        <f t="shared" si="2"/>
        <v/>
      </c>
      <c r="K92" s="517">
        <f t="shared" si="28"/>
        <v>0</v>
      </c>
    </row>
    <row r="93" spans="1:11" ht="12.75" customHeight="1" x14ac:dyDescent="0.25">
      <c r="A93" s="694" t="s">
        <v>448</v>
      </c>
      <c r="B93" s="142"/>
      <c r="C93" s="526">
        <v>0</v>
      </c>
      <c r="D93" s="531">
        <v>0</v>
      </c>
      <c r="E93" s="329">
        <v>0</v>
      </c>
      <c r="F93" s="329">
        <v>0</v>
      </c>
      <c r="G93" s="329">
        <v>0</v>
      </c>
      <c r="H93" s="329">
        <f t="shared" si="27"/>
        <v>0</v>
      </c>
      <c r="I93" s="41">
        <f t="shared" si="1"/>
        <v>0</v>
      </c>
      <c r="J93" s="826" t="str">
        <f t="shared" si="2"/>
        <v/>
      </c>
      <c r="K93" s="517">
        <f t="shared" si="28"/>
        <v>0</v>
      </c>
    </row>
    <row r="94" spans="1:11" ht="12.75" customHeight="1" x14ac:dyDescent="0.25">
      <c r="A94" s="694" t="s">
        <v>1316</v>
      </c>
      <c r="B94" s="142"/>
      <c r="C94" s="526">
        <v>0</v>
      </c>
      <c r="D94" s="531">
        <v>0</v>
      </c>
      <c r="E94" s="329">
        <v>0</v>
      </c>
      <c r="F94" s="329">
        <v>0</v>
      </c>
      <c r="G94" s="329">
        <v>0</v>
      </c>
      <c r="H94" s="329">
        <f t="shared" si="27"/>
        <v>0</v>
      </c>
      <c r="I94" s="41">
        <f t="shared" si="1"/>
        <v>0</v>
      </c>
      <c r="J94" s="826" t="str">
        <f t="shared" si="2"/>
        <v/>
      </c>
      <c r="K94" s="517">
        <f t="shared" si="28"/>
        <v>0</v>
      </c>
    </row>
    <row r="95" spans="1:11" ht="12.75" customHeight="1" x14ac:dyDescent="0.25">
      <c r="A95" s="694" t="s">
        <v>447</v>
      </c>
      <c r="B95" s="142"/>
      <c r="C95" s="526">
        <v>0</v>
      </c>
      <c r="D95" s="531">
        <v>0</v>
      </c>
      <c r="E95" s="329">
        <v>0</v>
      </c>
      <c r="F95" s="329">
        <v>0</v>
      </c>
      <c r="G95" s="329">
        <v>0</v>
      </c>
      <c r="H95" s="329">
        <f t="shared" si="27"/>
        <v>0</v>
      </c>
      <c r="I95" s="41">
        <f t="shared" si="1"/>
        <v>0</v>
      </c>
      <c r="J95" s="826" t="str">
        <f t="shared" si="2"/>
        <v/>
      </c>
      <c r="K95" s="517">
        <f t="shared" si="28"/>
        <v>0</v>
      </c>
    </row>
    <row r="96" spans="1:11" ht="12.75" customHeight="1" x14ac:dyDescent="0.25">
      <c r="A96" s="694" t="s">
        <v>1317</v>
      </c>
      <c r="B96" s="142"/>
      <c r="C96" s="526">
        <v>0</v>
      </c>
      <c r="D96" s="531">
        <v>0</v>
      </c>
      <c r="E96" s="329">
        <v>0</v>
      </c>
      <c r="F96" s="329">
        <v>0</v>
      </c>
      <c r="G96" s="329">
        <v>0</v>
      </c>
      <c r="H96" s="329">
        <f t="shared" si="27"/>
        <v>0</v>
      </c>
      <c r="I96" s="41">
        <f t="shared" si="1"/>
        <v>0</v>
      </c>
      <c r="J96" s="826" t="str">
        <f t="shared" si="2"/>
        <v/>
      </c>
      <c r="K96" s="517">
        <f t="shared" si="28"/>
        <v>0</v>
      </c>
    </row>
    <row r="97" spans="1:11" ht="12.75" customHeight="1" x14ac:dyDescent="0.25">
      <c r="A97" s="694" t="s">
        <v>1318</v>
      </c>
      <c r="B97" s="142"/>
      <c r="C97" s="526">
        <v>0</v>
      </c>
      <c r="D97" s="531">
        <v>0</v>
      </c>
      <c r="E97" s="329">
        <v>0</v>
      </c>
      <c r="F97" s="329">
        <v>0</v>
      </c>
      <c r="G97" s="329">
        <v>0</v>
      </c>
      <c r="H97" s="329">
        <f t="shared" si="27"/>
        <v>0</v>
      </c>
      <c r="I97" s="41">
        <f t="shared" si="1"/>
        <v>0</v>
      </c>
      <c r="J97" s="826" t="str">
        <f t="shared" si="2"/>
        <v/>
      </c>
      <c r="K97" s="517">
        <f t="shared" si="28"/>
        <v>0</v>
      </c>
    </row>
    <row r="98" spans="1:11" ht="12.75" customHeight="1" x14ac:dyDescent="0.25">
      <c r="A98" s="694" t="s">
        <v>1253</v>
      </c>
      <c r="B98" s="142"/>
      <c r="C98" s="526">
        <v>0</v>
      </c>
      <c r="D98" s="531">
        <v>0</v>
      </c>
      <c r="E98" s="329">
        <v>0</v>
      </c>
      <c r="F98" s="329">
        <v>0</v>
      </c>
      <c r="G98" s="329">
        <v>0</v>
      </c>
      <c r="H98" s="329">
        <f t="shared" si="27"/>
        <v>0</v>
      </c>
      <c r="I98" s="41">
        <f t="shared" si="1"/>
        <v>0</v>
      </c>
      <c r="J98" s="826" t="str">
        <f t="shared" si="2"/>
        <v/>
      </c>
      <c r="K98" s="517">
        <f t="shared" si="28"/>
        <v>0</v>
      </c>
    </row>
    <row r="99" spans="1:11" ht="12.75" customHeight="1" x14ac:dyDescent="0.25">
      <c r="A99" s="828" t="s">
        <v>1319</v>
      </c>
      <c r="B99" s="142"/>
      <c r="C99" s="111">
        <f t="shared" ref="C99:H99" si="29">SUM(C100:C102)</f>
        <v>0</v>
      </c>
      <c r="D99" s="43">
        <f t="shared" si="29"/>
        <v>0</v>
      </c>
      <c r="E99" s="41">
        <f t="shared" si="29"/>
        <v>0</v>
      </c>
      <c r="F99" s="41">
        <f t="shared" si="29"/>
        <v>0</v>
      </c>
      <c r="G99" s="41">
        <f t="shared" si="29"/>
        <v>0</v>
      </c>
      <c r="H99" s="41">
        <f t="shared" si="29"/>
        <v>0</v>
      </c>
      <c r="I99" s="221">
        <f t="shared" si="1"/>
        <v>0</v>
      </c>
      <c r="J99" s="829" t="str">
        <f t="shared" si="2"/>
        <v/>
      </c>
      <c r="K99" s="119">
        <f>SUM(K100:K102)</f>
        <v>0</v>
      </c>
    </row>
    <row r="100" spans="1:11" ht="12.75" customHeight="1" x14ac:dyDescent="0.25">
      <c r="A100" s="694" t="s">
        <v>1320</v>
      </c>
      <c r="B100" s="142"/>
      <c r="C100" s="526">
        <v>0</v>
      </c>
      <c r="D100" s="531">
        <v>0</v>
      </c>
      <c r="E100" s="329">
        <v>0</v>
      </c>
      <c r="F100" s="329">
        <v>0</v>
      </c>
      <c r="G100" s="329">
        <v>0</v>
      </c>
      <c r="H100" s="329">
        <f t="shared" ref="H100:H102" si="30">E100/12*$L$1</f>
        <v>0</v>
      </c>
      <c r="I100" s="41">
        <f t="shared" si="1"/>
        <v>0</v>
      </c>
      <c r="J100" s="826" t="str">
        <f t="shared" si="2"/>
        <v/>
      </c>
      <c r="K100" s="517">
        <f>E100</f>
        <v>0</v>
      </c>
    </row>
    <row r="101" spans="1:11" ht="12.75" customHeight="1" x14ac:dyDescent="0.25">
      <c r="A101" s="694" t="s">
        <v>1321</v>
      </c>
      <c r="B101" s="142"/>
      <c r="C101" s="526">
        <v>0</v>
      </c>
      <c r="D101" s="531">
        <v>0</v>
      </c>
      <c r="E101" s="329">
        <v>0</v>
      </c>
      <c r="F101" s="329">
        <v>0</v>
      </c>
      <c r="G101" s="329">
        <v>0</v>
      </c>
      <c r="H101" s="329">
        <f t="shared" si="30"/>
        <v>0</v>
      </c>
      <c r="I101" s="41">
        <f>H101-G101</f>
        <v>0</v>
      </c>
      <c r="J101" s="826" t="str">
        <f>IF(I101=0,"",I101/H101)</f>
        <v/>
      </c>
      <c r="K101" s="517">
        <f>E101</f>
        <v>0</v>
      </c>
    </row>
    <row r="102" spans="1:11" ht="12.75" customHeight="1" x14ac:dyDescent="0.25">
      <c r="A102" s="694" t="s">
        <v>1253</v>
      </c>
      <c r="B102" s="142"/>
      <c r="C102" s="526">
        <v>0</v>
      </c>
      <c r="D102" s="531">
        <v>0</v>
      </c>
      <c r="E102" s="329">
        <v>0</v>
      </c>
      <c r="F102" s="329">
        <v>0</v>
      </c>
      <c r="G102" s="329">
        <v>0</v>
      </c>
      <c r="H102" s="329">
        <f t="shared" si="30"/>
        <v>0</v>
      </c>
      <c r="I102" s="41">
        <f t="shared" si="1"/>
        <v>0</v>
      </c>
      <c r="J102" s="826" t="str">
        <f t="shared" si="2"/>
        <v/>
      </c>
      <c r="K102" s="517">
        <f>E102</f>
        <v>0</v>
      </c>
    </row>
    <row r="103" spans="1:11" ht="5.0999999999999996" customHeight="1" x14ac:dyDescent="0.25">
      <c r="A103" s="39"/>
      <c r="B103" s="142"/>
      <c r="C103" s="111"/>
      <c r="D103" s="221"/>
      <c r="E103" s="41"/>
      <c r="F103" s="41"/>
      <c r="G103" s="41"/>
      <c r="H103" s="41"/>
      <c r="I103" s="41">
        <f>H103-G103</f>
        <v>0</v>
      </c>
      <c r="J103" s="826" t="str">
        <f>IF(I103=0,"",I103/H103)</f>
        <v/>
      </c>
      <c r="K103" s="119"/>
    </row>
    <row r="104" spans="1:11" ht="12.75" customHeight="1" x14ac:dyDescent="0.25">
      <c r="A104" s="32" t="s">
        <v>681</v>
      </c>
      <c r="B104" s="142"/>
      <c r="C104" s="212">
        <f t="shared" ref="C104:H104" si="31">SUM(C105:C109)</f>
        <v>0</v>
      </c>
      <c r="D104" s="831">
        <f t="shared" si="31"/>
        <v>0</v>
      </c>
      <c r="E104" s="85">
        <f t="shared" si="31"/>
        <v>0</v>
      </c>
      <c r="F104" s="85">
        <f t="shared" si="31"/>
        <v>0</v>
      </c>
      <c r="G104" s="85">
        <f t="shared" si="31"/>
        <v>0</v>
      </c>
      <c r="H104" s="85">
        <f t="shared" si="31"/>
        <v>0</v>
      </c>
      <c r="I104" s="85">
        <f t="shared" si="1"/>
        <v>0</v>
      </c>
      <c r="J104" s="832" t="str">
        <f t="shared" si="2"/>
        <v/>
      </c>
      <c r="K104" s="160">
        <f>SUM(K105:K109)</f>
        <v>0</v>
      </c>
    </row>
    <row r="105" spans="1:11" ht="12.75" customHeight="1" x14ac:dyDescent="0.25">
      <c r="A105" s="828" t="s">
        <v>1323</v>
      </c>
      <c r="B105" s="142"/>
      <c r="C105" s="548">
        <v>0</v>
      </c>
      <c r="D105" s="531">
        <v>0</v>
      </c>
      <c r="E105" s="329">
        <v>0</v>
      </c>
      <c r="F105" s="329">
        <v>0</v>
      </c>
      <c r="G105" s="329">
        <v>0</v>
      </c>
      <c r="H105" s="329">
        <f t="shared" ref="H105:H109" si="32">E105/12*$L$1</f>
        <v>0</v>
      </c>
      <c r="I105" s="41">
        <f t="shared" si="1"/>
        <v>0</v>
      </c>
      <c r="J105" s="826" t="str">
        <f t="shared" si="2"/>
        <v/>
      </c>
      <c r="K105" s="517">
        <f>E105</f>
        <v>0</v>
      </c>
    </row>
    <row r="106" spans="1:11" ht="12.75" customHeight="1" x14ac:dyDescent="0.25">
      <c r="A106" s="828" t="s">
        <v>1324</v>
      </c>
      <c r="B106" s="142"/>
      <c r="C106" s="548">
        <v>0</v>
      </c>
      <c r="D106" s="531">
        <v>0</v>
      </c>
      <c r="E106" s="329">
        <v>0</v>
      </c>
      <c r="F106" s="329">
        <v>0</v>
      </c>
      <c r="G106" s="329">
        <v>0</v>
      </c>
      <c r="H106" s="329">
        <f t="shared" si="32"/>
        <v>0</v>
      </c>
      <c r="I106" s="41">
        <f t="shared" si="1"/>
        <v>0</v>
      </c>
      <c r="J106" s="826" t="str">
        <f t="shared" si="2"/>
        <v/>
      </c>
      <c r="K106" s="517">
        <f>E106</f>
        <v>0</v>
      </c>
    </row>
    <row r="107" spans="1:11" ht="12.75" customHeight="1" x14ac:dyDescent="0.25">
      <c r="A107" s="828" t="s">
        <v>1325</v>
      </c>
      <c r="B107" s="142"/>
      <c r="C107" s="548">
        <v>0</v>
      </c>
      <c r="D107" s="531">
        <v>0</v>
      </c>
      <c r="E107" s="329">
        <v>0</v>
      </c>
      <c r="F107" s="329">
        <v>0</v>
      </c>
      <c r="G107" s="329">
        <v>0</v>
      </c>
      <c r="H107" s="329">
        <f t="shared" si="32"/>
        <v>0</v>
      </c>
      <c r="I107" s="41">
        <f t="shared" si="1"/>
        <v>0</v>
      </c>
      <c r="J107" s="826" t="str">
        <f t="shared" si="2"/>
        <v/>
      </c>
      <c r="K107" s="517">
        <f>E107</f>
        <v>0</v>
      </c>
    </row>
    <row r="108" spans="1:11" ht="12.75" customHeight="1" x14ac:dyDescent="0.25">
      <c r="A108" s="828" t="s">
        <v>1326</v>
      </c>
      <c r="B108" s="142"/>
      <c r="C108" s="548">
        <v>0</v>
      </c>
      <c r="D108" s="531">
        <v>0</v>
      </c>
      <c r="E108" s="329">
        <v>0</v>
      </c>
      <c r="F108" s="329">
        <v>0</v>
      </c>
      <c r="G108" s="329">
        <v>0</v>
      </c>
      <c r="H108" s="329">
        <f t="shared" si="32"/>
        <v>0</v>
      </c>
      <c r="I108" s="41">
        <f t="shared" si="1"/>
        <v>0</v>
      </c>
      <c r="J108" s="826" t="str">
        <f t="shared" si="2"/>
        <v/>
      </c>
      <c r="K108" s="517">
        <f>E108</f>
        <v>0</v>
      </c>
    </row>
    <row r="109" spans="1:11" ht="12.75" customHeight="1" x14ac:dyDescent="0.25">
      <c r="A109" s="828" t="s">
        <v>1327</v>
      </c>
      <c r="B109" s="142"/>
      <c r="C109" s="548">
        <v>0</v>
      </c>
      <c r="D109" s="531">
        <v>0</v>
      </c>
      <c r="E109" s="329">
        <v>0</v>
      </c>
      <c r="F109" s="329">
        <v>0</v>
      </c>
      <c r="G109" s="329">
        <v>0</v>
      </c>
      <c r="H109" s="329">
        <f t="shared" si="32"/>
        <v>0</v>
      </c>
      <c r="I109" s="41">
        <f t="shared" si="1"/>
        <v>0</v>
      </c>
      <c r="J109" s="826" t="str">
        <f t="shared" si="2"/>
        <v/>
      </c>
      <c r="K109" s="517">
        <f>E109</f>
        <v>0</v>
      </c>
    </row>
    <row r="110" spans="1:11" ht="5.0999999999999996" customHeight="1" x14ac:dyDescent="0.25">
      <c r="A110" s="39"/>
      <c r="B110" s="142"/>
      <c r="C110" s="111"/>
      <c r="D110" s="221"/>
      <c r="E110" s="41"/>
      <c r="F110" s="41"/>
      <c r="G110" s="41"/>
      <c r="H110" s="41"/>
      <c r="I110" s="41">
        <f t="shared" si="1"/>
        <v>0</v>
      </c>
      <c r="J110" s="826" t="str">
        <f t="shared" si="2"/>
        <v/>
      </c>
      <c r="K110" s="119"/>
    </row>
    <row r="111" spans="1:11" ht="12.75" customHeight="1" x14ac:dyDescent="0.25">
      <c r="A111" s="32" t="s">
        <v>682</v>
      </c>
      <c r="B111" s="35"/>
      <c r="C111" s="472">
        <f t="shared" ref="C111:H111" si="33">+C112+C115</f>
        <v>0</v>
      </c>
      <c r="D111" s="830">
        <f t="shared" si="33"/>
        <v>0</v>
      </c>
      <c r="E111" s="474">
        <f t="shared" si="33"/>
        <v>0</v>
      </c>
      <c r="F111" s="474">
        <f t="shared" si="33"/>
        <v>0</v>
      </c>
      <c r="G111" s="474">
        <f t="shared" si="33"/>
        <v>0</v>
      </c>
      <c r="H111" s="474">
        <f t="shared" si="33"/>
        <v>0</v>
      </c>
      <c r="I111" s="85">
        <f t="shared" si="1"/>
        <v>0</v>
      </c>
      <c r="J111" s="832" t="str">
        <f t="shared" si="2"/>
        <v/>
      </c>
      <c r="K111" s="476">
        <f>+K112+K115</f>
        <v>0</v>
      </c>
    </row>
    <row r="112" spans="1:11" ht="12.75" customHeight="1" x14ac:dyDescent="0.25">
      <c r="A112" s="828" t="s">
        <v>1328</v>
      </c>
      <c r="B112" s="142"/>
      <c r="C112" s="111">
        <f t="shared" ref="C112:H112" si="34">SUM(C113:C114)</f>
        <v>0</v>
      </c>
      <c r="D112" s="43">
        <f t="shared" si="34"/>
        <v>0</v>
      </c>
      <c r="E112" s="41">
        <f t="shared" si="34"/>
        <v>0</v>
      </c>
      <c r="F112" s="41">
        <f t="shared" si="34"/>
        <v>0</v>
      </c>
      <c r="G112" s="41">
        <f t="shared" si="34"/>
        <v>0</v>
      </c>
      <c r="H112" s="41">
        <f t="shared" si="34"/>
        <v>0</v>
      </c>
      <c r="I112" s="221">
        <f t="shared" si="1"/>
        <v>0</v>
      </c>
      <c r="J112" s="829" t="str">
        <f t="shared" si="2"/>
        <v/>
      </c>
      <c r="K112" s="119">
        <f>SUM(K113:K114)</f>
        <v>0</v>
      </c>
    </row>
    <row r="113" spans="1:11" ht="12.75" customHeight="1" x14ac:dyDescent="0.25">
      <c r="A113" s="694" t="s">
        <v>1329</v>
      </c>
      <c r="B113" s="142"/>
      <c r="C113" s="526">
        <v>0</v>
      </c>
      <c r="D113" s="531">
        <v>0</v>
      </c>
      <c r="E113" s="329">
        <v>0</v>
      </c>
      <c r="F113" s="329">
        <v>0</v>
      </c>
      <c r="G113" s="329">
        <v>0</v>
      </c>
      <c r="H113" s="329">
        <f t="shared" ref="H113:H114" si="35">E113/12*$L$1</f>
        <v>0</v>
      </c>
      <c r="I113" s="41">
        <f t="shared" si="1"/>
        <v>0</v>
      </c>
      <c r="J113" s="826" t="str">
        <f t="shared" si="2"/>
        <v/>
      </c>
      <c r="K113" s="517">
        <f>E113</f>
        <v>0</v>
      </c>
    </row>
    <row r="114" spans="1:11" ht="12.75" customHeight="1" x14ac:dyDescent="0.25">
      <c r="A114" s="694" t="s">
        <v>1330</v>
      </c>
      <c r="B114" s="142"/>
      <c r="C114" s="526">
        <v>0</v>
      </c>
      <c r="D114" s="531">
        <v>0</v>
      </c>
      <c r="E114" s="329">
        <v>0</v>
      </c>
      <c r="F114" s="329">
        <v>0</v>
      </c>
      <c r="G114" s="329">
        <v>0</v>
      </c>
      <c r="H114" s="329">
        <f t="shared" si="35"/>
        <v>0</v>
      </c>
      <c r="I114" s="41">
        <f t="shared" si="1"/>
        <v>0</v>
      </c>
      <c r="J114" s="826" t="str">
        <f t="shared" si="2"/>
        <v/>
      </c>
      <c r="K114" s="517">
        <f>E114</f>
        <v>0</v>
      </c>
    </row>
    <row r="115" spans="1:11" ht="12.75" customHeight="1" x14ac:dyDescent="0.25">
      <c r="A115" s="828" t="s">
        <v>1331</v>
      </c>
      <c r="B115" s="142"/>
      <c r="C115" s="111">
        <f t="shared" ref="C115:H115" si="36">SUM(C116:C117)</f>
        <v>0</v>
      </c>
      <c r="D115" s="43">
        <f t="shared" si="36"/>
        <v>0</v>
      </c>
      <c r="E115" s="41">
        <f t="shared" si="36"/>
        <v>0</v>
      </c>
      <c r="F115" s="41">
        <f t="shared" si="36"/>
        <v>0</v>
      </c>
      <c r="G115" s="41">
        <f t="shared" si="36"/>
        <v>0</v>
      </c>
      <c r="H115" s="41">
        <f t="shared" si="36"/>
        <v>0</v>
      </c>
      <c r="I115" s="221">
        <f t="shared" si="1"/>
        <v>0</v>
      </c>
      <c r="J115" s="829" t="str">
        <f t="shared" si="2"/>
        <v/>
      </c>
      <c r="K115" s="119">
        <f>SUM(K116:K117)</f>
        <v>0</v>
      </c>
    </row>
    <row r="116" spans="1:11" ht="12.75" customHeight="1" x14ac:dyDescent="0.25">
      <c r="A116" s="694" t="s">
        <v>1329</v>
      </c>
      <c r="B116" s="142"/>
      <c r="C116" s="526">
        <v>0</v>
      </c>
      <c r="D116" s="531">
        <v>0</v>
      </c>
      <c r="E116" s="329">
        <v>0</v>
      </c>
      <c r="F116" s="329">
        <v>0</v>
      </c>
      <c r="G116" s="329">
        <v>0</v>
      </c>
      <c r="H116" s="329">
        <f t="shared" ref="H116:H117" si="37">E116/12*$L$1</f>
        <v>0</v>
      </c>
      <c r="I116" s="41">
        <f t="shared" si="1"/>
        <v>0</v>
      </c>
      <c r="J116" s="826" t="str">
        <f t="shared" si="2"/>
        <v/>
      </c>
      <c r="K116" s="517">
        <f>E116</f>
        <v>0</v>
      </c>
    </row>
    <row r="117" spans="1:11" ht="12.75" customHeight="1" x14ac:dyDescent="0.25">
      <c r="A117" s="694" t="s">
        <v>1330</v>
      </c>
      <c r="B117" s="142"/>
      <c r="C117" s="526">
        <v>0</v>
      </c>
      <c r="D117" s="531">
        <v>0</v>
      </c>
      <c r="E117" s="329">
        <v>0</v>
      </c>
      <c r="F117" s="329">
        <v>0</v>
      </c>
      <c r="G117" s="329">
        <v>0</v>
      </c>
      <c r="H117" s="329">
        <f t="shared" si="37"/>
        <v>0</v>
      </c>
      <c r="I117" s="41">
        <f>H117-G117</f>
        <v>0</v>
      </c>
      <c r="J117" s="826" t="str">
        <f>IF(I117=0,"",I117/H117)</f>
        <v/>
      </c>
      <c r="K117" s="517">
        <f>E117</f>
        <v>0</v>
      </c>
    </row>
    <row r="118" spans="1:11" ht="5.0999999999999996" customHeight="1" x14ac:dyDescent="0.25">
      <c r="A118" s="39"/>
      <c r="B118" s="142"/>
      <c r="C118" s="111"/>
      <c r="D118" s="221"/>
      <c r="E118" s="41"/>
      <c r="F118" s="41"/>
      <c r="G118" s="41"/>
      <c r="H118" s="41"/>
      <c r="I118" s="41">
        <f>H118-G118</f>
        <v>0</v>
      </c>
      <c r="J118" s="826" t="str">
        <f>IF(I118=0,"",I118/H118)</f>
        <v/>
      </c>
      <c r="K118" s="119"/>
    </row>
    <row r="119" spans="1:11" ht="12.75" customHeight="1" x14ac:dyDescent="0.25">
      <c r="A119" s="32" t="s">
        <v>683</v>
      </c>
      <c r="B119" s="142"/>
      <c r="C119" s="472">
        <f t="shared" ref="C119:H119" si="38">+C120+C132</f>
        <v>1027776.8100000005</v>
      </c>
      <c r="D119" s="830">
        <f t="shared" si="38"/>
        <v>0</v>
      </c>
      <c r="E119" s="474">
        <f t="shared" si="38"/>
        <v>0</v>
      </c>
      <c r="F119" s="474">
        <f t="shared" si="38"/>
        <v>0</v>
      </c>
      <c r="G119" s="474">
        <f t="shared" si="38"/>
        <v>0</v>
      </c>
      <c r="H119" s="474">
        <f t="shared" si="38"/>
        <v>0</v>
      </c>
      <c r="I119" s="474">
        <f t="shared" si="1"/>
        <v>0</v>
      </c>
      <c r="J119" s="827" t="str">
        <f t="shared" si="2"/>
        <v/>
      </c>
      <c r="K119" s="476">
        <f>+K120+K132</f>
        <v>0</v>
      </c>
    </row>
    <row r="120" spans="1:11" ht="12.75" customHeight="1" x14ac:dyDescent="0.25">
      <c r="A120" s="828" t="s">
        <v>1332</v>
      </c>
      <c r="B120" s="142"/>
      <c r="C120" s="111">
        <f t="shared" ref="C120:H120" si="39">SUM(C121:C131)</f>
        <v>1027776.8100000005</v>
      </c>
      <c r="D120" s="43">
        <f t="shared" si="39"/>
        <v>0</v>
      </c>
      <c r="E120" s="41">
        <f t="shared" si="39"/>
        <v>0</v>
      </c>
      <c r="F120" s="41">
        <f t="shared" si="39"/>
        <v>0</v>
      </c>
      <c r="G120" s="41">
        <f t="shared" si="39"/>
        <v>0</v>
      </c>
      <c r="H120" s="41">
        <f t="shared" si="39"/>
        <v>0</v>
      </c>
      <c r="I120" s="221">
        <f t="shared" si="1"/>
        <v>0</v>
      </c>
      <c r="J120" s="829" t="str">
        <f t="shared" si="2"/>
        <v/>
      </c>
      <c r="K120" s="119">
        <f>SUM(K121:K131)</f>
        <v>0</v>
      </c>
    </row>
    <row r="121" spans="1:11" ht="12.75" customHeight="1" x14ac:dyDescent="0.25">
      <c r="A121" s="694" t="s">
        <v>1333</v>
      </c>
      <c r="B121" s="142"/>
      <c r="C121" s="526">
        <v>1027776.8100000005</v>
      </c>
      <c r="D121" s="531">
        <v>0</v>
      </c>
      <c r="E121" s="329">
        <v>0</v>
      </c>
      <c r="F121" s="329">
        <v>0</v>
      </c>
      <c r="G121" s="329">
        <v>0</v>
      </c>
      <c r="H121" s="329">
        <f t="shared" ref="H121:H131" si="40">E121/12*$L$1</f>
        <v>0</v>
      </c>
      <c r="I121" s="41">
        <f t="shared" si="1"/>
        <v>0</v>
      </c>
      <c r="J121" s="826" t="str">
        <f t="shared" si="2"/>
        <v/>
      </c>
      <c r="K121" s="517">
        <f t="shared" ref="K121:K131" si="41">E121</f>
        <v>0</v>
      </c>
    </row>
    <row r="122" spans="1:11" ht="12.75" customHeight="1" x14ac:dyDescent="0.25">
      <c r="A122" s="694" t="s">
        <v>1334</v>
      </c>
      <c r="B122" s="142"/>
      <c r="C122" s="526">
        <v>0</v>
      </c>
      <c r="D122" s="531">
        <v>0</v>
      </c>
      <c r="E122" s="329">
        <v>0</v>
      </c>
      <c r="F122" s="329">
        <v>0</v>
      </c>
      <c r="G122" s="329">
        <v>0</v>
      </c>
      <c r="H122" s="329">
        <f t="shared" si="40"/>
        <v>0</v>
      </c>
      <c r="I122" s="41">
        <f t="shared" si="1"/>
        <v>0</v>
      </c>
      <c r="J122" s="826" t="str">
        <f t="shared" si="2"/>
        <v/>
      </c>
      <c r="K122" s="517">
        <f t="shared" si="41"/>
        <v>0</v>
      </c>
    </row>
    <row r="123" spans="1:11" ht="12.75" customHeight="1" x14ac:dyDescent="0.25">
      <c r="A123" s="694" t="s">
        <v>1335</v>
      </c>
      <c r="B123" s="142"/>
      <c r="C123" s="526">
        <v>0</v>
      </c>
      <c r="D123" s="531">
        <v>0</v>
      </c>
      <c r="E123" s="329">
        <v>0</v>
      </c>
      <c r="F123" s="329">
        <v>0</v>
      </c>
      <c r="G123" s="329">
        <v>0</v>
      </c>
      <c r="H123" s="329">
        <f t="shared" si="40"/>
        <v>0</v>
      </c>
      <c r="I123" s="41">
        <f t="shared" si="1"/>
        <v>0</v>
      </c>
      <c r="J123" s="826" t="str">
        <f t="shared" si="2"/>
        <v/>
      </c>
      <c r="K123" s="517">
        <f t="shared" si="41"/>
        <v>0</v>
      </c>
    </row>
    <row r="124" spans="1:11" ht="12.75" customHeight="1" x14ac:dyDescent="0.25">
      <c r="A124" s="694" t="s">
        <v>1336</v>
      </c>
      <c r="B124" s="142"/>
      <c r="C124" s="526">
        <v>0</v>
      </c>
      <c r="D124" s="531">
        <v>0</v>
      </c>
      <c r="E124" s="329">
        <v>0</v>
      </c>
      <c r="F124" s="329">
        <v>0</v>
      </c>
      <c r="G124" s="329">
        <v>0</v>
      </c>
      <c r="H124" s="329">
        <f t="shared" si="40"/>
        <v>0</v>
      </c>
      <c r="I124" s="41">
        <f t="shared" si="1"/>
        <v>0</v>
      </c>
      <c r="J124" s="826" t="str">
        <f t="shared" si="2"/>
        <v/>
      </c>
      <c r="K124" s="517">
        <f t="shared" si="41"/>
        <v>0</v>
      </c>
    </row>
    <row r="125" spans="1:11" ht="12.75" customHeight="1" x14ac:dyDescent="0.25">
      <c r="A125" s="694" t="s">
        <v>1337</v>
      </c>
      <c r="B125" s="142"/>
      <c r="C125" s="526">
        <v>0</v>
      </c>
      <c r="D125" s="531">
        <v>0</v>
      </c>
      <c r="E125" s="329">
        <v>0</v>
      </c>
      <c r="F125" s="329">
        <v>0</v>
      </c>
      <c r="G125" s="329">
        <v>0</v>
      </c>
      <c r="H125" s="329">
        <f t="shared" si="40"/>
        <v>0</v>
      </c>
      <c r="I125" s="41">
        <f t="shared" si="1"/>
        <v>0</v>
      </c>
      <c r="J125" s="826" t="str">
        <f t="shared" si="2"/>
        <v/>
      </c>
      <c r="K125" s="517">
        <f t="shared" si="41"/>
        <v>0</v>
      </c>
    </row>
    <row r="126" spans="1:11" ht="12.75" customHeight="1" x14ac:dyDescent="0.25">
      <c r="A126" s="694" t="s">
        <v>1338</v>
      </c>
      <c r="B126" s="142"/>
      <c r="C126" s="526">
        <v>0</v>
      </c>
      <c r="D126" s="531">
        <v>0</v>
      </c>
      <c r="E126" s="329">
        <v>0</v>
      </c>
      <c r="F126" s="329">
        <v>0</v>
      </c>
      <c r="G126" s="329">
        <v>0</v>
      </c>
      <c r="H126" s="329">
        <f t="shared" si="40"/>
        <v>0</v>
      </c>
      <c r="I126" s="41">
        <f t="shared" si="1"/>
        <v>0</v>
      </c>
      <c r="J126" s="826" t="str">
        <f t="shared" si="2"/>
        <v/>
      </c>
      <c r="K126" s="517">
        <f t="shared" si="41"/>
        <v>0</v>
      </c>
    </row>
    <row r="127" spans="1:11" ht="12.75" customHeight="1" x14ac:dyDescent="0.25">
      <c r="A127" s="694" t="s">
        <v>1339</v>
      </c>
      <c r="B127" s="142"/>
      <c r="C127" s="526">
        <v>0</v>
      </c>
      <c r="D127" s="531">
        <v>0</v>
      </c>
      <c r="E127" s="329">
        <v>0</v>
      </c>
      <c r="F127" s="329">
        <v>0</v>
      </c>
      <c r="G127" s="329">
        <v>0</v>
      </c>
      <c r="H127" s="329">
        <f t="shared" si="40"/>
        <v>0</v>
      </c>
      <c r="I127" s="41">
        <f t="shared" si="1"/>
        <v>0</v>
      </c>
      <c r="J127" s="826" t="str">
        <f t="shared" si="2"/>
        <v/>
      </c>
      <c r="K127" s="517">
        <f t="shared" si="41"/>
        <v>0</v>
      </c>
    </row>
    <row r="128" spans="1:11" ht="12.75" customHeight="1" x14ac:dyDescent="0.25">
      <c r="A128" s="694" t="s">
        <v>1340</v>
      </c>
      <c r="B128" s="142"/>
      <c r="C128" s="526">
        <v>0</v>
      </c>
      <c r="D128" s="531">
        <v>0</v>
      </c>
      <c r="E128" s="329">
        <v>0</v>
      </c>
      <c r="F128" s="329">
        <v>0</v>
      </c>
      <c r="G128" s="329">
        <v>0</v>
      </c>
      <c r="H128" s="329">
        <f t="shared" si="40"/>
        <v>0</v>
      </c>
      <c r="I128" s="41">
        <f t="shared" si="1"/>
        <v>0</v>
      </c>
      <c r="J128" s="826" t="str">
        <f t="shared" si="2"/>
        <v/>
      </c>
      <c r="K128" s="517">
        <f t="shared" si="41"/>
        <v>0</v>
      </c>
    </row>
    <row r="129" spans="1:11" ht="12.75" customHeight="1" x14ac:dyDescent="0.25">
      <c r="A129" s="694" t="s">
        <v>1341</v>
      </c>
      <c r="B129" s="142"/>
      <c r="C129" s="526">
        <v>0</v>
      </c>
      <c r="D129" s="531">
        <v>0</v>
      </c>
      <c r="E129" s="329">
        <v>0</v>
      </c>
      <c r="F129" s="329">
        <v>0</v>
      </c>
      <c r="G129" s="329">
        <v>0</v>
      </c>
      <c r="H129" s="329">
        <f t="shared" si="40"/>
        <v>0</v>
      </c>
      <c r="I129" s="41">
        <f t="shared" si="1"/>
        <v>0</v>
      </c>
      <c r="J129" s="826" t="str">
        <f t="shared" si="2"/>
        <v/>
      </c>
      <c r="K129" s="517">
        <f t="shared" si="41"/>
        <v>0</v>
      </c>
    </row>
    <row r="130" spans="1:11" ht="12.75" customHeight="1" x14ac:dyDescent="0.25">
      <c r="A130" s="694" t="s">
        <v>1342</v>
      </c>
      <c r="B130" s="142"/>
      <c r="C130" s="526">
        <v>0</v>
      </c>
      <c r="D130" s="531">
        <v>0</v>
      </c>
      <c r="E130" s="329">
        <v>0</v>
      </c>
      <c r="F130" s="329">
        <v>0</v>
      </c>
      <c r="G130" s="329">
        <v>0</v>
      </c>
      <c r="H130" s="329">
        <f t="shared" si="40"/>
        <v>0</v>
      </c>
      <c r="I130" s="41">
        <f t="shared" si="1"/>
        <v>0</v>
      </c>
      <c r="J130" s="826" t="str">
        <f t="shared" si="2"/>
        <v/>
      </c>
      <c r="K130" s="517">
        <f t="shared" si="41"/>
        <v>0</v>
      </c>
    </row>
    <row r="131" spans="1:11" ht="12.75" customHeight="1" x14ac:dyDescent="0.25">
      <c r="A131" s="694" t="s">
        <v>1253</v>
      </c>
      <c r="B131" s="142"/>
      <c r="C131" s="526">
        <v>0</v>
      </c>
      <c r="D131" s="531">
        <v>0</v>
      </c>
      <c r="E131" s="329">
        <v>0</v>
      </c>
      <c r="F131" s="329">
        <v>0</v>
      </c>
      <c r="G131" s="329">
        <v>0</v>
      </c>
      <c r="H131" s="329">
        <f t="shared" si="40"/>
        <v>0</v>
      </c>
      <c r="I131" s="41">
        <f t="shared" si="1"/>
        <v>0</v>
      </c>
      <c r="J131" s="826" t="str">
        <f t="shared" si="2"/>
        <v/>
      </c>
      <c r="K131" s="517">
        <f t="shared" si="41"/>
        <v>0</v>
      </c>
    </row>
    <row r="132" spans="1:11" ht="12.75" customHeight="1" x14ac:dyDescent="0.25">
      <c r="A132" s="828" t="s">
        <v>724</v>
      </c>
      <c r="B132" s="142"/>
      <c r="C132" s="111">
        <f t="shared" ref="C132:H132" si="42">SUM(C133:C135)</f>
        <v>0</v>
      </c>
      <c r="D132" s="43">
        <f t="shared" si="42"/>
        <v>0</v>
      </c>
      <c r="E132" s="41">
        <f t="shared" si="42"/>
        <v>0</v>
      </c>
      <c r="F132" s="41">
        <f t="shared" si="42"/>
        <v>0</v>
      </c>
      <c r="G132" s="41">
        <f t="shared" si="42"/>
        <v>0</v>
      </c>
      <c r="H132" s="41">
        <f t="shared" si="42"/>
        <v>0</v>
      </c>
      <c r="I132" s="221">
        <f t="shared" si="1"/>
        <v>0</v>
      </c>
      <c r="J132" s="829" t="str">
        <f t="shared" si="2"/>
        <v/>
      </c>
      <c r="K132" s="119">
        <f>SUM(K133:K135)</f>
        <v>0</v>
      </c>
    </row>
    <row r="133" spans="1:11" ht="12.75" customHeight="1" x14ac:dyDescent="0.25">
      <c r="A133" s="694" t="s">
        <v>1343</v>
      </c>
      <c r="B133" s="142"/>
      <c r="C133" s="526">
        <v>0</v>
      </c>
      <c r="D133" s="531">
        <v>0</v>
      </c>
      <c r="E133" s="329">
        <v>0</v>
      </c>
      <c r="F133" s="329">
        <v>0</v>
      </c>
      <c r="G133" s="329">
        <v>0</v>
      </c>
      <c r="H133" s="329">
        <f t="shared" ref="H133:H135" si="43">E133/12*$L$1</f>
        <v>0</v>
      </c>
      <c r="I133" s="41">
        <f t="shared" si="1"/>
        <v>0</v>
      </c>
      <c r="J133" s="826" t="str">
        <f t="shared" si="2"/>
        <v/>
      </c>
      <c r="K133" s="517">
        <f>E133</f>
        <v>0</v>
      </c>
    </row>
    <row r="134" spans="1:11" ht="12.75" customHeight="1" x14ac:dyDescent="0.25">
      <c r="A134" s="694" t="s">
        <v>1344</v>
      </c>
      <c r="B134" s="142"/>
      <c r="C134" s="526">
        <v>0</v>
      </c>
      <c r="D134" s="531">
        <v>0</v>
      </c>
      <c r="E134" s="329">
        <v>0</v>
      </c>
      <c r="F134" s="329">
        <v>0</v>
      </c>
      <c r="G134" s="329">
        <v>0</v>
      </c>
      <c r="H134" s="329">
        <f t="shared" si="43"/>
        <v>0</v>
      </c>
      <c r="I134" s="41">
        <f t="shared" si="1"/>
        <v>0</v>
      </c>
      <c r="J134" s="826" t="str">
        <f t="shared" si="2"/>
        <v/>
      </c>
      <c r="K134" s="517">
        <f>E134</f>
        <v>0</v>
      </c>
    </row>
    <row r="135" spans="1:11" ht="12.75" customHeight="1" x14ac:dyDescent="0.25">
      <c r="A135" s="694" t="s">
        <v>1253</v>
      </c>
      <c r="B135" s="142"/>
      <c r="C135" s="526">
        <v>0</v>
      </c>
      <c r="D135" s="531">
        <v>0</v>
      </c>
      <c r="E135" s="329">
        <v>0</v>
      </c>
      <c r="F135" s="329">
        <v>0</v>
      </c>
      <c r="G135" s="329">
        <v>0</v>
      </c>
      <c r="H135" s="329">
        <f t="shared" si="43"/>
        <v>0</v>
      </c>
      <c r="I135" s="41">
        <f t="shared" si="1"/>
        <v>0</v>
      </c>
      <c r="J135" s="826" t="str">
        <f t="shared" si="2"/>
        <v/>
      </c>
      <c r="K135" s="517">
        <f>E135</f>
        <v>0</v>
      </c>
    </row>
    <row r="136" spans="1:11" ht="5.0999999999999996" customHeight="1" x14ac:dyDescent="0.25">
      <c r="A136" s="828"/>
      <c r="B136" s="142"/>
      <c r="C136" s="111"/>
      <c r="D136" s="221"/>
      <c r="E136" s="41"/>
      <c r="F136" s="41"/>
      <c r="G136" s="41"/>
      <c r="H136" s="41"/>
      <c r="I136" s="41"/>
      <c r="J136" s="826" t="str">
        <f t="shared" si="2"/>
        <v/>
      </c>
      <c r="K136" s="119"/>
    </row>
    <row r="137" spans="1:11" ht="12.75" customHeight="1" x14ac:dyDescent="0.25">
      <c r="A137" s="32" t="s">
        <v>1345</v>
      </c>
      <c r="B137" s="142"/>
      <c r="C137" s="472">
        <f t="shared" ref="C137:H137" si="44">SUM(C138:C138)</f>
        <v>0</v>
      </c>
      <c r="D137" s="830">
        <f t="shared" si="44"/>
        <v>0</v>
      </c>
      <c r="E137" s="474">
        <f t="shared" si="44"/>
        <v>0</v>
      </c>
      <c r="F137" s="474">
        <f t="shared" si="44"/>
        <v>0</v>
      </c>
      <c r="G137" s="474">
        <f t="shared" si="44"/>
        <v>0</v>
      </c>
      <c r="H137" s="474">
        <f t="shared" si="44"/>
        <v>0</v>
      </c>
      <c r="I137" s="474">
        <f>H137-G137</f>
        <v>0</v>
      </c>
      <c r="J137" s="832" t="str">
        <f t="shared" si="2"/>
        <v/>
      </c>
      <c r="K137" s="476">
        <f>SUM(K138)</f>
        <v>0</v>
      </c>
    </row>
    <row r="138" spans="1:11" ht="12.75" customHeight="1" x14ac:dyDescent="0.25">
      <c r="A138" s="828" t="s">
        <v>1345</v>
      </c>
      <c r="B138" s="142"/>
      <c r="C138" s="526">
        <v>0</v>
      </c>
      <c r="D138" s="531">
        <v>0</v>
      </c>
      <c r="E138" s="329">
        <v>0</v>
      </c>
      <c r="F138" s="329">
        <v>0</v>
      </c>
      <c r="G138" s="329">
        <v>0</v>
      </c>
      <c r="H138" s="329">
        <f>E138/12*$L$1</f>
        <v>0</v>
      </c>
      <c r="I138" s="41">
        <f>H138-G138</f>
        <v>0</v>
      </c>
      <c r="J138" s="826" t="str">
        <f t="shared" si="2"/>
        <v/>
      </c>
      <c r="K138" s="517">
        <f>E138</f>
        <v>0</v>
      </c>
    </row>
    <row r="139" spans="1:11" ht="5.0999999999999996" customHeight="1" x14ac:dyDescent="0.25">
      <c r="A139" s="39"/>
      <c r="B139" s="142"/>
      <c r="C139" s="111"/>
      <c r="D139" s="221"/>
      <c r="E139" s="41"/>
      <c r="F139" s="41"/>
      <c r="G139" s="41"/>
      <c r="H139" s="41"/>
      <c r="I139" s="41"/>
      <c r="J139" s="826" t="str">
        <f t="shared" ref="J139:J148" si="45">IF(I139=0,"",I139/H139)</f>
        <v/>
      </c>
      <c r="K139" s="119"/>
    </row>
    <row r="140" spans="1:11" ht="12.75" customHeight="1" x14ac:dyDescent="0.25">
      <c r="A140" s="32" t="s">
        <v>1346</v>
      </c>
      <c r="B140" s="142"/>
      <c r="C140" s="472">
        <f>SUM(C141:C142)</f>
        <v>0</v>
      </c>
      <c r="D140" s="830">
        <f>+D141+D142</f>
        <v>0</v>
      </c>
      <c r="E140" s="474">
        <f>+E141+E142</f>
        <v>0</v>
      </c>
      <c r="F140" s="474">
        <f>SUM(F141:F142)</f>
        <v>0</v>
      </c>
      <c r="G140" s="474">
        <f>SUM(G141:G142)</f>
        <v>0</v>
      </c>
      <c r="H140" s="474">
        <f>SUM(H141:H142)</f>
        <v>0</v>
      </c>
      <c r="I140" s="474">
        <f t="shared" ref="I140:I148" si="46">H140-G140</f>
        <v>0</v>
      </c>
      <c r="J140" s="832" t="str">
        <f t="shared" si="45"/>
        <v/>
      </c>
      <c r="K140" s="476">
        <f>SUM(K141:K142)</f>
        <v>0</v>
      </c>
    </row>
    <row r="141" spans="1:11" ht="12.75" customHeight="1" x14ac:dyDescent="0.25">
      <c r="A141" s="828" t="s">
        <v>1347</v>
      </c>
      <c r="B141" s="142"/>
      <c r="C141" s="526">
        <v>0</v>
      </c>
      <c r="D141" s="531">
        <v>0</v>
      </c>
      <c r="E141" s="329">
        <v>0</v>
      </c>
      <c r="F141" s="329">
        <v>0</v>
      </c>
      <c r="G141" s="329">
        <v>0</v>
      </c>
      <c r="H141" s="329">
        <f>E141/12*$L$1</f>
        <v>0</v>
      </c>
      <c r="I141" s="41">
        <f t="shared" si="46"/>
        <v>0</v>
      </c>
      <c r="J141" s="826" t="str">
        <f t="shared" si="45"/>
        <v/>
      </c>
      <c r="K141" s="517">
        <f>E141</f>
        <v>0</v>
      </c>
    </row>
    <row r="142" spans="1:11" ht="12.75" customHeight="1" x14ac:dyDescent="0.25">
      <c r="A142" s="828" t="s">
        <v>1348</v>
      </c>
      <c r="B142" s="142"/>
      <c r="C142" s="111">
        <f t="shared" ref="C142:H142" si="47">SUM(C143:C148)</f>
        <v>0</v>
      </c>
      <c r="D142" s="43">
        <f t="shared" si="47"/>
        <v>0</v>
      </c>
      <c r="E142" s="41">
        <f t="shared" si="47"/>
        <v>0</v>
      </c>
      <c r="F142" s="41">
        <f t="shared" si="47"/>
        <v>0</v>
      </c>
      <c r="G142" s="41">
        <f t="shared" si="47"/>
        <v>0</v>
      </c>
      <c r="H142" s="41">
        <f t="shared" si="47"/>
        <v>0</v>
      </c>
      <c r="I142" s="221">
        <f t="shared" si="46"/>
        <v>0</v>
      </c>
      <c r="J142" s="829" t="str">
        <f t="shared" si="45"/>
        <v/>
      </c>
      <c r="K142" s="119">
        <f>SUM(K143:K148)</f>
        <v>0</v>
      </c>
    </row>
    <row r="143" spans="1:11" ht="12.75" customHeight="1" x14ac:dyDescent="0.25">
      <c r="A143" s="694" t="s">
        <v>1349</v>
      </c>
      <c r="B143" s="142"/>
      <c r="C143" s="526">
        <v>0</v>
      </c>
      <c r="D143" s="531">
        <v>0</v>
      </c>
      <c r="E143" s="329">
        <v>0</v>
      </c>
      <c r="F143" s="329">
        <v>0</v>
      </c>
      <c r="G143" s="329">
        <v>0</v>
      </c>
      <c r="H143" s="329">
        <f t="shared" ref="H143:H148" si="48">E143/12*$L$1</f>
        <v>0</v>
      </c>
      <c r="I143" s="41">
        <f t="shared" si="46"/>
        <v>0</v>
      </c>
      <c r="J143" s="826" t="str">
        <f t="shared" si="45"/>
        <v/>
      </c>
      <c r="K143" s="517">
        <f t="shared" ref="K143:K148" si="49">E143</f>
        <v>0</v>
      </c>
    </row>
    <row r="144" spans="1:11" ht="12.75" customHeight="1" x14ac:dyDescent="0.25">
      <c r="A144" s="694" t="s">
        <v>1350</v>
      </c>
      <c r="B144" s="142"/>
      <c r="C144" s="526">
        <v>0</v>
      </c>
      <c r="D144" s="531">
        <v>0</v>
      </c>
      <c r="E144" s="329">
        <v>0</v>
      </c>
      <c r="F144" s="329">
        <v>0</v>
      </c>
      <c r="G144" s="329">
        <v>0</v>
      </c>
      <c r="H144" s="329">
        <f t="shared" si="48"/>
        <v>0</v>
      </c>
      <c r="I144" s="41">
        <f t="shared" si="46"/>
        <v>0</v>
      </c>
      <c r="J144" s="826" t="str">
        <f t="shared" si="45"/>
        <v/>
      </c>
      <c r="K144" s="517">
        <f t="shared" si="49"/>
        <v>0</v>
      </c>
    </row>
    <row r="145" spans="1:11" ht="12.75" customHeight="1" x14ac:dyDescent="0.25">
      <c r="A145" s="694" t="s">
        <v>1351</v>
      </c>
      <c r="B145" s="142"/>
      <c r="C145" s="526">
        <v>0</v>
      </c>
      <c r="D145" s="531">
        <v>0</v>
      </c>
      <c r="E145" s="329">
        <v>0</v>
      </c>
      <c r="F145" s="329">
        <v>0</v>
      </c>
      <c r="G145" s="329">
        <v>0</v>
      </c>
      <c r="H145" s="329">
        <f t="shared" si="48"/>
        <v>0</v>
      </c>
      <c r="I145" s="41">
        <f t="shared" si="46"/>
        <v>0</v>
      </c>
      <c r="J145" s="826" t="str">
        <f t="shared" si="45"/>
        <v/>
      </c>
      <c r="K145" s="517">
        <f t="shared" si="49"/>
        <v>0</v>
      </c>
    </row>
    <row r="146" spans="1:11" ht="12.75" customHeight="1" x14ac:dyDescent="0.25">
      <c r="A146" s="694" t="s">
        <v>1352</v>
      </c>
      <c r="B146" s="142"/>
      <c r="C146" s="526">
        <v>0</v>
      </c>
      <c r="D146" s="531">
        <v>0</v>
      </c>
      <c r="E146" s="329">
        <v>0</v>
      </c>
      <c r="F146" s="329">
        <v>0</v>
      </c>
      <c r="G146" s="329">
        <v>0</v>
      </c>
      <c r="H146" s="329">
        <f t="shared" si="48"/>
        <v>0</v>
      </c>
      <c r="I146" s="41">
        <f t="shared" si="46"/>
        <v>0</v>
      </c>
      <c r="J146" s="826" t="str">
        <f t="shared" si="45"/>
        <v/>
      </c>
      <c r="K146" s="517">
        <f t="shared" si="49"/>
        <v>0</v>
      </c>
    </row>
    <row r="147" spans="1:11" ht="12.75" customHeight="1" x14ac:dyDescent="0.25">
      <c r="A147" s="694" t="s">
        <v>1353</v>
      </c>
      <c r="B147" s="142"/>
      <c r="C147" s="526">
        <v>0</v>
      </c>
      <c r="D147" s="531">
        <v>0</v>
      </c>
      <c r="E147" s="329">
        <v>0</v>
      </c>
      <c r="F147" s="329">
        <v>0</v>
      </c>
      <c r="G147" s="329">
        <v>0</v>
      </c>
      <c r="H147" s="329">
        <f t="shared" si="48"/>
        <v>0</v>
      </c>
      <c r="I147" s="41">
        <f t="shared" si="46"/>
        <v>0</v>
      </c>
      <c r="J147" s="826" t="str">
        <f t="shared" si="45"/>
        <v/>
      </c>
      <c r="K147" s="517">
        <f t="shared" si="49"/>
        <v>0</v>
      </c>
    </row>
    <row r="148" spans="1:11" ht="12.75" customHeight="1" x14ac:dyDescent="0.25">
      <c r="A148" s="694" t="s">
        <v>1354</v>
      </c>
      <c r="B148" s="142"/>
      <c r="C148" s="526">
        <v>0</v>
      </c>
      <c r="D148" s="531">
        <v>0</v>
      </c>
      <c r="E148" s="329">
        <v>0</v>
      </c>
      <c r="F148" s="329">
        <v>0</v>
      </c>
      <c r="G148" s="329">
        <v>0</v>
      </c>
      <c r="H148" s="329">
        <f t="shared" si="48"/>
        <v>0</v>
      </c>
      <c r="I148" s="41">
        <f t="shared" si="46"/>
        <v>0</v>
      </c>
      <c r="J148" s="826" t="str">
        <f t="shared" si="45"/>
        <v/>
      </c>
      <c r="K148" s="517">
        <f t="shared" si="49"/>
        <v>0</v>
      </c>
    </row>
    <row r="149" spans="1:11" ht="5.25" customHeight="1" x14ac:dyDescent="0.25">
      <c r="A149" s="39"/>
      <c r="B149" s="142"/>
      <c r="C149" s="833"/>
      <c r="D149" s="834"/>
      <c r="E149" s="419"/>
      <c r="F149" s="419"/>
      <c r="G149" s="419"/>
      <c r="H149" s="419"/>
      <c r="I149" s="41"/>
      <c r="J149" s="826"/>
      <c r="K149" s="420"/>
    </row>
    <row r="150" spans="1:11" ht="12.75" customHeight="1" x14ac:dyDescent="0.25">
      <c r="A150" s="32" t="s">
        <v>1355</v>
      </c>
      <c r="B150" s="142"/>
      <c r="C150" s="472">
        <f t="shared" ref="C150:H150" si="50">SUM(C151:C151)</f>
        <v>2227239.59</v>
      </c>
      <c r="D150" s="830">
        <f t="shared" si="50"/>
        <v>7062800</v>
      </c>
      <c r="E150" s="474">
        <f t="shared" si="50"/>
        <v>2396000</v>
      </c>
      <c r="F150" s="474">
        <f t="shared" si="50"/>
        <v>1006831.21</v>
      </c>
      <c r="G150" s="474">
        <f t="shared" si="50"/>
        <v>2695105.1399999997</v>
      </c>
      <c r="H150" s="474">
        <f t="shared" si="50"/>
        <v>2396000</v>
      </c>
      <c r="I150" s="474">
        <f>H150-G150</f>
        <v>-299105.13999999966</v>
      </c>
      <c r="J150" s="832">
        <f>IF(I150=0,"",I150/H150)</f>
        <v>-0.12483520033388967</v>
      </c>
      <c r="K150" s="476">
        <f>SUM(K151)</f>
        <v>2396000</v>
      </c>
    </row>
    <row r="151" spans="1:11" ht="12.75" customHeight="1" x14ac:dyDescent="0.25">
      <c r="A151" s="828" t="s">
        <v>1355</v>
      </c>
      <c r="B151" s="142"/>
      <c r="C151" s="526">
        <v>2227239.59</v>
      </c>
      <c r="D151" s="531">
        <v>7062800</v>
      </c>
      <c r="E151" s="329">
        <v>2396000</v>
      </c>
      <c r="F151" s="329">
        <f>[7]SC13b!$F$53+[7]SC13b!$F$54+[7]SC13b!$F$59</f>
        <v>1006831.21</v>
      </c>
      <c r="G151" s="329">
        <f>[7]SC13b!$G$53+[7]SC13b!$G$54+[7]SC13b!$G$59</f>
        <v>2695105.1399999997</v>
      </c>
      <c r="H151" s="329">
        <f>E151/12*$L$1</f>
        <v>2396000</v>
      </c>
      <c r="I151" s="41">
        <f>H151-G151</f>
        <v>-299105.13999999966</v>
      </c>
      <c r="J151" s="826">
        <f>IF(I151=0,"",I151/H151)</f>
        <v>-0.12483520033388967</v>
      </c>
      <c r="K151" s="517">
        <f>E151</f>
        <v>2396000</v>
      </c>
    </row>
    <row r="152" spans="1:11" ht="5.0999999999999996" customHeight="1" x14ac:dyDescent="0.25">
      <c r="A152" s="39"/>
      <c r="B152" s="142"/>
      <c r="C152" s="111"/>
      <c r="D152" s="221"/>
      <c r="E152" s="41"/>
      <c r="F152" s="41"/>
      <c r="G152" s="41"/>
      <c r="H152" s="41"/>
      <c r="I152" s="41"/>
      <c r="J152" s="826"/>
      <c r="K152" s="119"/>
    </row>
    <row r="153" spans="1:11" ht="12.75" customHeight="1" x14ac:dyDescent="0.25">
      <c r="A153" s="32" t="s">
        <v>1356</v>
      </c>
      <c r="B153" s="142"/>
      <c r="C153" s="472">
        <f t="shared" ref="C153:H153" si="51">SUM(C154:C154)</f>
        <v>132041.63000000035</v>
      </c>
      <c r="D153" s="830">
        <f t="shared" si="51"/>
        <v>800000</v>
      </c>
      <c r="E153" s="474">
        <f t="shared" si="51"/>
        <v>1450375</v>
      </c>
      <c r="F153" s="474">
        <f t="shared" si="51"/>
        <v>160892.01000000013</v>
      </c>
      <c r="G153" s="474">
        <f t="shared" si="51"/>
        <v>1212420.82</v>
      </c>
      <c r="H153" s="474">
        <f t="shared" si="51"/>
        <v>1450375</v>
      </c>
      <c r="I153" s="474">
        <f>H153-G153</f>
        <v>237954.17999999993</v>
      </c>
      <c r="J153" s="832">
        <f>IF(I153=0,"",I153/H153)</f>
        <v>0.16406390071533219</v>
      </c>
      <c r="K153" s="476">
        <f>SUM(K154)</f>
        <v>1450375</v>
      </c>
    </row>
    <row r="154" spans="1:11" ht="12.75" customHeight="1" x14ac:dyDescent="0.25">
      <c r="A154" s="828" t="s">
        <v>1356</v>
      </c>
      <c r="B154" s="142"/>
      <c r="C154" s="526">
        <v>132041.63000000035</v>
      </c>
      <c r="D154" s="531">
        <v>800000</v>
      </c>
      <c r="E154" s="329">
        <v>1450375</v>
      </c>
      <c r="F154" s="329">
        <v>160892.01000000013</v>
      </c>
      <c r="G154" s="329">
        <v>1212420.82</v>
      </c>
      <c r="H154" s="329">
        <f>E154/12*$L$1</f>
        <v>1450375</v>
      </c>
      <c r="I154" s="41">
        <f>H154-G154</f>
        <v>237954.17999999993</v>
      </c>
      <c r="J154" s="826">
        <f>IF(I154=0,"",I154/H154)</f>
        <v>0.16406390071533219</v>
      </c>
      <c r="K154" s="517">
        <f>E154</f>
        <v>1450375</v>
      </c>
    </row>
    <row r="155" spans="1:11" ht="5.0999999999999996" customHeight="1" x14ac:dyDescent="0.25">
      <c r="A155" s="39"/>
      <c r="B155" s="142"/>
      <c r="C155" s="111"/>
      <c r="D155" s="221"/>
      <c r="E155" s="41"/>
      <c r="F155" s="41"/>
      <c r="G155" s="41"/>
      <c r="H155" s="41"/>
      <c r="I155" s="41"/>
      <c r="J155" s="826" t="str">
        <f>IF(I155=0,"",I155/H155)</f>
        <v/>
      </c>
      <c r="K155" s="119"/>
    </row>
    <row r="156" spans="1:11" ht="12.75" customHeight="1" x14ac:dyDescent="0.25">
      <c r="A156" s="32" t="s">
        <v>1357</v>
      </c>
      <c r="B156" s="142"/>
      <c r="C156" s="472">
        <f t="shared" ref="C156:H156" si="52">SUM(C157:C157)</f>
        <v>2757206.0000000005</v>
      </c>
      <c r="D156" s="830">
        <f t="shared" si="52"/>
        <v>6445000</v>
      </c>
      <c r="E156" s="474">
        <f t="shared" si="52"/>
        <v>0</v>
      </c>
      <c r="F156" s="474">
        <f t="shared" si="52"/>
        <v>0</v>
      </c>
      <c r="G156" s="474">
        <f t="shared" si="52"/>
        <v>0</v>
      </c>
      <c r="H156" s="474">
        <f t="shared" si="52"/>
        <v>0</v>
      </c>
      <c r="I156" s="474">
        <f>H156-G156</f>
        <v>0</v>
      </c>
      <c r="J156" s="832" t="str">
        <f>IF(I156=0,"",I156/H156)</f>
        <v/>
      </c>
      <c r="K156" s="476">
        <f>SUM(K157)</f>
        <v>0</v>
      </c>
    </row>
    <row r="157" spans="1:11" ht="12.75" customHeight="1" x14ac:dyDescent="0.25">
      <c r="A157" s="828" t="s">
        <v>1357</v>
      </c>
      <c r="B157" s="142"/>
      <c r="C157" s="526">
        <v>2757206.0000000005</v>
      </c>
      <c r="D157" s="531">
        <v>6445000</v>
      </c>
      <c r="E157" s="329">
        <v>0</v>
      </c>
      <c r="F157" s="329">
        <v>0</v>
      </c>
      <c r="G157" s="329">
        <v>0</v>
      </c>
      <c r="H157" s="329">
        <f>E157/12*$L$1</f>
        <v>0</v>
      </c>
      <c r="I157" s="41">
        <f>H157-G157</f>
        <v>0</v>
      </c>
      <c r="J157" s="826" t="str">
        <f>IF(I157=0,"",I157/H157)</f>
        <v/>
      </c>
      <c r="K157" s="517">
        <f>E157</f>
        <v>0</v>
      </c>
    </row>
    <row r="158" spans="1:11" ht="5.0999999999999996" customHeight="1" x14ac:dyDescent="0.25">
      <c r="A158" s="39"/>
      <c r="B158" s="142"/>
      <c r="C158" s="111"/>
      <c r="D158" s="221"/>
      <c r="E158" s="41"/>
      <c r="F158" s="41"/>
      <c r="G158" s="41"/>
      <c r="H158" s="41"/>
      <c r="I158" s="41"/>
      <c r="J158" s="826"/>
      <c r="K158" s="119"/>
    </row>
    <row r="159" spans="1:11" ht="12.75" customHeight="1" x14ac:dyDescent="0.25">
      <c r="A159" s="32" t="s">
        <v>1358</v>
      </c>
      <c r="B159" s="142"/>
      <c r="C159" s="472">
        <f t="shared" ref="C159:H159" si="53">SUM(C160:C160)</f>
        <v>157205</v>
      </c>
      <c r="D159" s="830">
        <f t="shared" si="53"/>
        <v>4800000</v>
      </c>
      <c r="E159" s="474">
        <f t="shared" si="53"/>
        <v>0</v>
      </c>
      <c r="F159" s="474">
        <f t="shared" si="53"/>
        <v>0</v>
      </c>
      <c r="G159" s="474">
        <f t="shared" si="53"/>
        <v>0</v>
      </c>
      <c r="H159" s="474">
        <f t="shared" si="53"/>
        <v>0</v>
      </c>
      <c r="I159" s="474">
        <f>H159-G159</f>
        <v>0</v>
      </c>
      <c r="J159" s="832" t="str">
        <f>IF(I159=0,"",I159/H159)</f>
        <v/>
      </c>
      <c r="K159" s="476">
        <f>SUM(K160)</f>
        <v>0</v>
      </c>
    </row>
    <row r="160" spans="1:11" ht="12.75" customHeight="1" x14ac:dyDescent="0.25">
      <c r="A160" s="828" t="s">
        <v>1358</v>
      </c>
      <c r="B160" s="142"/>
      <c r="C160" s="526">
        <v>157205</v>
      </c>
      <c r="D160" s="531">
        <v>4800000</v>
      </c>
      <c r="E160" s="329">
        <v>0</v>
      </c>
      <c r="F160" s="329">
        <v>0</v>
      </c>
      <c r="G160" s="329">
        <v>0</v>
      </c>
      <c r="H160" s="329">
        <f>E160/12*$L$1</f>
        <v>0</v>
      </c>
      <c r="I160" s="41">
        <f>H160-G160</f>
        <v>0</v>
      </c>
      <c r="J160" s="826" t="str">
        <f>IF(I160=0,"",I160/H160)</f>
        <v/>
      </c>
      <c r="K160" s="517">
        <f>E160</f>
        <v>0</v>
      </c>
    </row>
    <row r="161" spans="1:11" ht="5.0999999999999996" customHeight="1" x14ac:dyDescent="0.25">
      <c r="A161" s="39"/>
      <c r="B161" s="142"/>
      <c r="C161" s="111"/>
      <c r="D161" s="221"/>
      <c r="E161" s="41"/>
      <c r="F161" s="41"/>
      <c r="G161" s="41"/>
      <c r="H161" s="41"/>
      <c r="I161" s="41"/>
      <c r="J161" s="826"/>
      <c r="K161" s="119"/>
    </row>
    <row r="162" spans="1:11" ht="12.75" customHeight="1" x14ac:dyDescent="0.25">
      <c r="A162" s="32" t="s">
        <v>1367</v>
      </c>
      <c r="B162" s="142"/>
      <c r="C162" s="472">
        <f t="shared" ref="C162:H162" si="54">SUM(C163:C163)</f>
        <v>0</v>
      </c>
      <c r="D162" s="830">
        <f t="shared" si="54"/>
        <v>0</v>
      </c>
      <c r="E162" s="474">
        <f t="shared" si="54"/>
        <v>0</v>
      </c>
      <c r="F162" s="474">
        <f t="shared" si="54"/>
        <v>0</v>
      </c>
      <c r="G162" s="474">
        <f t="shared" si="54"/>
        <v>0</v>
      </c>
      <c r="H162" s="474">
        <f t="shared" si="54"/>
        <v>0</v>
      </c>
      <c r="I162" s="474">
        <f>H162-G162</f>
        <v>0</v>
      </c>
      <c r="J162" s="832" t="str">
        <f>IF(I162=0,"",I162/H162)</f>
        <v/>
      </c>
      <c r="K162" s="476">
        <f>SUM(K163)</f>
        <v>0</v>
      </c>
    </row>
    <row r="163" spans="1:11" ht="12.75" customHeight="1" x14ac:dyDescent="0.25">
      <c r="A163" s="828" t="s">
        <v>1367</v>
      </c>
      <c r="B163" s="142"/>
      <c r="C163" s="526">
        <v>0</v>
      </c>
      <c r="D163" s="531">
        <v>0</v>
      </c>
      <c r="E163" s="329">
        <v>0</v>
      </c>
      <c r="F163" s="329">
        <v>0</v>
      </c>
      <c r="G163" s="329">
        <v>0</v>
      </c>
      <c r="H163" s="329">
        <f>E163/12*$L$1</f>
        <v>0</v>
      </c>
      <c r="I163" s="41">
        <f>H163-G163</f>
        <v>0</v>
      </c>
      <c r="J163" s="826" t="str">
        <f>IF(I163=0,"",I163/H163)</f>
        <v/>
      </c>
      <c r="K163" s="517">
        <f>E163</f>
        <v>0</v>
      </c>
    </row>
    <row r="164" spans="1:11" ht="5.0999999999999996" customHeight="1" x14ac:dyDescent="0.25">
      <c r="A164" s="39"/>
      <c r="B164" s="142"/>
      <c r="C164" s="111"/>
      <c r="D164" s="221"/>
      <c r="E164" s="41"/>
      <c r="F164" s="41"/>
      <c r="G164" s="41"/>
      <c r="H164" s="41"/>
      <c r="I164" s="41"/>
      <c r="J164" s="826" t="s">
        <v>1360</v>
      </c>
      <c r="K164" s="119"/>
    </row>
    <row r="165" spans="1:11" ht="12.75" customHeight="1" x14ac:dyDescent="0.25">
      <c r="A165" s="32" t="s">
        <v>1359</v>
      </c>
      <c r="B165" s="142"/>
      <c r="C165" s="472">
        <f t="shared" ref="C165:H165" si="55">SUM(C166:C166)</f>
        <v>0</v>
      </c>
      <c r="D165" s="830">
        <f t="shared" si="55"/>
        <v>0</v>
      </c>
      <c r="E165" s="474">
        <f t="shared" si="55"/>
        <v>0</v>
      </c>
      <c r="F165" s="474">
        <f t="shared" si="55"/>
        <v>0</v>
      </c>
      <c r="G165" s="474">
        <f t="shared" si="55"/>
        <v>0</v>
      </c>
      <c r="H165" s="474">
        <f t="shared" si="55"/>
        <v>0</v>
      </c>
      <c r="I165" s="474">
        <f>H165-G165</f>
        <v>0</v>
      </c>
      <c r="J165" s="832" t="str">
        <f>IF(I165=0,"",I165/H165)</f>
        <v/>
      </c>
      <c r="K165" s="476">
        <f>SUM(K166)</f>
        <v>0</v>
      </c>
    </row>
    <row r="166" spans="1:11" ht="12.75" customHeight="1" x14ac:dyDescent="0.25">
      <c r="A166" s="828" t="s">
        <v>1359</v>
      </c>
      <c r="B166" s="142"/>
      <c r="C166" s="526">
        <v>0</v>
      </c>
      <c r="D166" s="531">
        <v>0</v>
      </c>
      <c r="E166" s="329">
        <v>0</v>
      </c>
      <c r="F166" s="329">
        <v>0</v>
      </c>
      <c r="G166" s="329">
        <v>0</v>
      </c>
      <c r="H166" s="329">
        <f>E166/12*$L$1</f>
        <v>0</v>
      </c>
      <c r="I166" s="41">
        <f>H166-G166</f>
        <v>0</v>
      </c>
      <c r="J166" s="826" t="str">
        <f>IF(I166=0,"",I166/H166)</f>
        <v/>
      </c>
      <c r="K166" s="517">
        <f>E166</f>
        <v>0</v>
      </c>
    </row>
    <row r="167" spans="1:11" ht="5.0999999999999996" customHeight="1" x14ac:dyDescent="0.25">
      <c r="A167" s="828"/>
      <c r="B167" s="142"/>
      <c r="C167" s="111"/>
      <c r="D167" s="221"/>
      <c r="E167" s="41"/>
      <c r="F167" s="41"/>
      <c r="G167" s="41"/>
      <c r="H167" s="41"/>
      <c r="I167" s="41"/>
      <c r="J167" s="826" t="str">
        <f>IF(I167=0,"",I167/H167)</f>
        <v/>
      </c>
      <c r="K167" s="119"/>
    </row>
    <row r="168" spans="1:11" ht="12.75" customHeight="1" x14ac:dyDescent="0.25">
      <c r="A168" s="49" t="s">
        <v>891</v>
      </c>
      <c r="B168" s="199">
        <v>1</v>
      </c>
      <c r="C168" s="94">
        <f t="shared" ref="C168:H168" si="56">C7+C75+C104+C111+C119+C137+C140+C150+C153+C156+C159+C162+C165</f>
        <v>42303105.789999999</v>
      </c>
      <c r="D168" s="230">
        <f t="shared" si="56"/>
        <v>32857800</v>
      </c>
      <c r="E168" s="51">
        <f t="shared" si="56"/>
        <v>22917615</v>
      </c>
      <c r="F168" s="51">
        <f t="shared" si="56"/>
        <v>11585034.709999999</v>
      </c>
      <c r="G168" s="51">
        <f t="shared" si="56"/>
        <v>22805963.770000003</v>
      </c>
      <c r="H168" s="51">
        <f t="shared" si="56"/>
        <v>22917615</v>
      </c>
      <c r="I168" s="51">
        <f>H168-G168</f>
        <v>111651.22999999672</v>
      </c>
      <c r="J168" s="835">
        <f>IF(I168=0,"",I168/H168)</f>
        <v>4.8718520666306995E-3</v>
      </c>
      <c r="K168" s="198">
        <f>K7+K75+K104+K111+K119+K137+K140+K150+K153+K156+K159+K162+K165</f>
        <v>22917615</v>
      </c>
    </row>
    <row r="169" spans="1:11" ht="12.75" customHeight="1" x14ac:dyDescent="0.25">
      <c r="A169" s="77"/>
      <c r="C169" s="45"/>
      <c r="D169" s="45"/>
      <c r="E169" s="45"/>
      <c r="F169" s="45"/>
      <c r="G169" s="45"/>
      <c r="H169" s="45"/>
      <c r="I169" s="45"/>
      <c r="J169" s="836"/>
      <c r="K169" s="837"/>
    </row>
    <row r="170" spans="1:11" ht="11.25" customHeight="1" x14ac:dyDescent="0.25">
      <c r="A170" s="39"/>
      <c r="C170" s="55"/>
      <c r="D170" s="55"/>
      <c r="E170" s="55"/>
      <c r="F170" s="55"/>
      <c r="G170" s="55"/>
      <c r="H170" s="55"/>
      <c r="I170" s="55"/>
      <c r="J170" s="55"/>
      <c r="K170" s="381"/>
    </row>
    <row r="171" spans="1:11" ht="11.25" customHeight="1" x14ac:dyDescent="0.25">
      <c r="A171" s="678" t="s">
        <v>733</v>
      </c>
      <c r="B171" s="679"/>
      <c r="C171" s="838">
        <f>C168+SC13a!C168+SC13e!C168-'C5-Capex'!C40</f>
        <v>0</v>
      </c>
      <c r="D171" s="838">
        <f>D168+SC13a!D168+SC13e!D168-'C5-Capex'!D40</f>
        <v>0</v>
      </c>
      <c r="E171" s="838">
        <f>E168+SC13a!E168+SC13e!E168-'C5-Capex'!E40</f>
        <v>0</v>
      </c>
      <c r="F171" s="838">
        <f>F168+SC13a!F168+SC13e!F168-'C5-Capex'!F40</f>
        <v>0</v>
      </c>
      <c r="G171" s="838">
        <f>G168+SC13a!G168+SC13e!G168-'C5-Capex'!G40</f>
        <v>0</v>
      </c>
      <c r="H171" s="838">
        <f>H168+SC13a!H168+SC13e!H168-'C5-Capex'!H40</f>
        <v>0</v>
      </c>
      <c r="I171" s="838"/>
      <c r="J171" s="838"/>
      <c r="K171" s="839">
        <f>K168+SC13a!K168+SC13e!K168-'C5-Capex'!K40</f>
        <v>0</v>
      </c>
    </row>
  </sheetData>
  <mergeCells count="3">
    <mergeCell ref="A1:K1"/>
    <mergeCell ref="A2:A3"/>
    <mergeCell ref="B2:B3"/>
  </mergeCells>
  <phoneticPr fontId="3" type="noConversion"/>
  <printOptions horizontalCentered="1"/>
  <pageMargins left="0.19685039370078741" right="0.19685039370078741" top="0.39370078740157483" bottom="0.39370078740157483" header="0.51181102362204722" footer="0.51181102362204722"/>
  <pageSetup paperSize="9" scale="91" fitToHeight="3" orientation="portrait" r:id="rId1"/>
  <headerFooter alignWithMargins="0"/>
  <ignoredErrors>
    <ignoredError sqref="K9:K12 H9:H12 H167:H168 G151" unlockedFormula="1"/>
    <ignoredError sqref="K13:K168 H13:H166" formula="1" unlocked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0">
    <tabColor indexed="42"/>
    <pageSetUpPr fitToPage="1"/>
  </sheetPr>
  <dimension ref="A1:L171"/>
  <sheetViews>
    <sheetView showGridLines="0" view="pageBreakPreview" zoomScaleNormal="100" zoomScaleSheetLayoutView="100" workbookViewId="0">
      <pane ySplit="4" topLeftCell="A146" activePane="bottomLeft" state="frozen"/>
      <selection pane="bottomLeft" activeCell="G169" sqref="G169"/>
    </sheetView>
  </sheetViews>
  <sheetFormatPr defaultColWidth="9.140625" defaultRowHeight="12.75" x14ac:dyDescent="0.25"/>
  <cols>
    <col min="1" max="1" width="34.140625" style="22" customWidth="1"/>
    <col min="2" max="2" width="3.140625" style="54" customWidth="1"/>
    <col min="3" max="8" width="8.7109375" style="22" customWidth="1"/>
    <col min="9" max="10" width="6.7109375" style="22" customWidth="1"/>
    <col min="11" max="11" width="8.7109375" style="22" customWidth="1"/>
    <col min="12" max="12" width="2.140625" style="150" hidden="1" customWidth="1"/>
    <col min="13" max="13" width="9.5703125" style="22" customWidth="1"/>
    <col min="14" max="14" width="9.85546875" style="22" customWidth="1"/>
    <col min="15" max="17" width="9.5703125" style="22" customWidth="1"/>
    <col min="18" max="18" width="9.85546875" style="22" customWidth="1"/>
    <col min="19" max="21" width="9.5703125" style="22" customWidth="1"/>
    <col min="22" max="23" width="9.85546875" style="22" customWidth="1"/>
    <col min="24" max="16384" width="9.140625" style="22"/>
  </cols>
  <sheetData>
    <row r="1" spans="1:12" ht="13.5" x14ac:dyDescent="0.25">
      <c r="A1" s="982" t="str">
        <f>muni&amp; " - "&amp;S71Sc&amp; " - "&amp;Head57</f>
        <v>WC025 Breede Valley - Supporting Table SC13c Monthly Budget Statement - expenditure on repairs and maintenance by asset class - Q4 Fourth Quarter</v>
      </c>
      <c r="B1" s="983"/>
      <c r="C1" s="983"/>
      <c r="D1" s="983"/>
      <c r="E1" s="983"/>
      <c r="F1" s="983"/>
      <c r="G1" s="983"/>
      <c r="H1" s="983"/>
      <c r="I1" s="983"/>
      <c r="J1" s="983"/>
      <c r="K1" s="984"/>
      <c r="L1" s="150">
        <v>12</v>
      </c>
    </row>
    <row r="2" spans="1:12" x14ac:dyDescent="0.25">
      <c r="A2" s="1038" t="str">
        <f>desc</f>
        <v>Description</v>
      </c>
      <c r="B2" s="1040" t="str">
        <f>head27</f>
        <v>Ref</v>
      </c>
      <c r="C2" s="815" t="str">
        <f>Head1</f>
        <v>2017/18</v>
      </c>
      <c r="D2" s="816" t="str">
        <f>Head2</f>
        <v>Budget Year 2018/19</v>
      </c>
      <c r="E2" s="817"/>
      <c r="F2" s="817"/>
      <c r="G2" s="817"/>
      <c r="H2" s="817"/>
      <c r="I2" s="817"/>
      <c r="J2" s="817"/>
      <c r="K2" s="818"/>
      <c r="L2" s="896"/>
    </row>
    <row r="3" spans="1:12" ht="25.5" x14ac:dyDescent="0.25">
      <c r="A3" s="1039"/>
      <c r="B3" s="1041"/>
      <c r="C3" s="819" t="str">
        <f>Head5</f>
        <v>Audited Outcome</v>
      </c>
      <c r="D3" s="820" t="str">
        <f>Head6</f>
        <v>Original Budget</v>
      </c>
      <c r="E3" s="821" t="str">
        <f>Head7</f>
        <v>Adjusted Budget</v>
      </c>
      <c r="F3" s="821" t="str">
        <f>Head38</f>
        <v>Monthly actual</v>
      </c>
      <c r="G3" s="821" t="str">
        <f>Head39</f>
        <v>YearTD actual</v>
      </c>
      <c r="H3" s="821" t="str">
        <f>Head40</f>
        <v>YearTD budget</v>
      </c>
      <c r="I3" s="821" t="str">
        <f>Head41</f>
        <v>YTD variance</v>
      </c>
      <c r="J3" s="822" t="str">
        <f>Head41</f>
        <v>YTD variance</v>
      </c>
      <c r="K3" s="823" t="str">
        <f>Head8</f>
        <v>Full Year Forecast</v>
      </c>
    </row>
    <row r="4" spans="1:12" x14ac:dyDescent="0.25">
      <c r="A4" s="824" t="s">
        <v>678</v>
      </c>
      <c r="B4" s="211">
        <v>1</v>
      </c>
      <c r="C4" s="211"/>
      <c r="D4" s="253"/>
      <c r="E4" s="249"/>
      <c r="F4" s="825"/>
      <c r="G4" s="825"/>
      <c r="H4" s="825"/>
      <c r="I4" s="825"/>
      <c r="J4" s="300" t="s">
        <v>586</v>
      </c>
      <c r="K4" s="408"/>
    </row>
    <row r="5" spans="1:12" ht="12.75" customHeight="1" x14ac:dyDescent="0.25">
      <c r="A5" s="149" t="s">
        <v>893</v>
      </c>
      <c r="B5" s="142"/>
      <c r="C5" s="111"/>
      <c r="D5" s="221"/>
      <c r="E5" s="41"/>
      <c r="F5" s="41"/>
      <c r="G5" s="41"/>
      <c r="H5" s="41"/>
      <c r="I5" s="41"/>
      <c r="J5" s="826"/>
      <c r="K5" s="119"/>
    </row>
    <row r="6" spans="1:12" ht="5.0999999999999996" customHeight="1" x14ac:dyDescent="0.25">
      <c r="A6" s="32"/>
      <c r="B6" s="142"/>
      <c r="C6" s="111"/>
      <c r="D6" s="221"/>
      <c r="E6" s="41"/>
      <c r="F6" s="41"/>
      <c r="G6" s="41"/>
      <c r="H6" s="41"/>
      <c r="I6" s="41"/>
      <c r="J6" s="826"/>
      <c r="K6" s="119"/>
    </row>
    <row r="7" spans="1:12" ht="12.75" customHeight="1" x14ac:dyDescent="0.25">
      <c r="A7" s="32" t="s">
        <v>654</v>
      </c>
      <c r="B7" s="142"/>
      <c r="C7" s="91">
        <f t="shared" ref="C7:H7" si="0">C8+C13+C17+C27+C38+C45+C53+C63+C69</f>
        <v>41195084.32</v>
      </c>
      <c r="D7" s="47">
        <f t="shared" si="0"/>
        <v>47962379.059123695</v>
      </c>
      <c r="E7" s="46">
        <f t="shared" si="0"/>
        <v>46252158</v>
      </c>
      <c r="F7" s="46">
        <f t="shared" si="0"/>
        <v>6931926.0499999998</v>
      </c>
      <c r="G7" s="46">
        <f t="shared" si="0"/>
        <v>34805681.300000004</v>
      </c>
      <c r="H7" s="46">
        <f t="shared" si="0"/>
        <v>46252158</v>
      </c>
      <c r="I7" s="85">
        <f t="shared" ref="I7:I168" si="1">H7-G7</f>
        <v>11446476.699999996</v>
      </c>
      <c r="J7" s="827">
        <f t="shared" ref="J7:J168" si="2">IF(I7=0,"",I7/H7)</f>
        <v>0.24747984083250765</v>
      </c>
      <c r="K7" s="159">
        <f>K8+K13+K17+K27+K38+K45+K53+K63+K69</f>
        <v>46252158</v>
      </c>
    </row>
    <row r="8" spans="1:12" ht="12.75" customHeight="1" x14ac:dyDescent="0.25">
      <c r="A8" s="828" t="s">
        <v>1250</v>
      </c>
      <c r="B8" s="142"/>
      <c r="C8" s="449">
        <f t="shared" ref="C8:H8" si="3">SUM(C9:C12)</f>
        <v>7397556.6699999999</v>
      </c>
      <c r="D8" s="450">
        <f>SUM(D9:D12)</f>
        <v>11754021.613399871</v>
      </c>
      <c r="E8" s="404">
        <f>SUM(E9:E12)</f>
        <v>8810963</v>
      </c>
      <c r="F8" s="404">
        <f t="shared" si="3"/>
        <v>1043801.6400000001</v>
      </c>
      <c r="G8" s="404">
        <f t="shared" si="3"/>
        <v>5233069.1400000006</v>
      </c>
      <c r="H8" s="404">
        <f t="shared" si="3"/>
        <v>8810963</v>
      </c>
      <c r="I8" s="221">
        <f t="shared" si="1"/>
        <v>3577893.8599999994</v>
      </c>
      <c r="J8" s="829">
        <f t="shared" si="2"/>
        <v>0.40607296387466379</v>
      </c>
      <c r="K8" s="451">
        <f>SUM(K9:K12)</f>
        <v>8810963</v>
      </c>
    </row>
    <row r="9" spans="1:12" ht="12.75" customHeight="1" x14ac:dyDescent="0.25">
      <c r="A9" s="694" t="s">
        <v>172</v>
      </c>
      <c r="B9" s="142"/>
      <c r="C9" s="526">
        <v>2224452.41</v>
      </c>
      <c r="D9" s="328">
        <v>5844643.1815249473</v>
      </c>
      <c r="E9" s="329">
        <v>2330111</v>
      </c>
      <c r="F9" s="329">
        <v>87641.11</v>
      </c>
      <c r="G9" s="329">
        <v>1731125.58</v>
      </c>
      <c r="H9" s="329">
        <f>E9/12*$L$1</f>
        <v>2330111</v>
      </c>
      <c r="I9" s="221">
        <f t="shared" si="1"/>
        <v>598985.41999999993</v>
      </c>
      <c r="J9" s="829">
        <f t="shared" si="2"/>
        <v>0.25706304120275814</v>
      </c>
      <c r="K9" s="517">
        <f>E9</f>
        <v>2330111</v>
      </c>
    </row>
    <row r="10" spans="1:12" ht="12.75" customHeight="1" x14ac:dyDescent="0.25">
      <c r="A10" s="694" t="s">
        <v>1251</v>
      </c>
      <c r="B10" s="142"/>
      <c r="C10" s="526">
        <v>4588485.32</v>
      </c>
      <c r="D10" s="328">
        <v>4953018.4507842083</v>
      </c>
      <c r="E10" s="329">
        <v>4908999</v>
      </c>
      <c r="F10" s="329">
        <v>540729.58000000007</v>
      </c>
      <c r="G10" s="329">
        <v>2651174.7900000005</v>
      </c>
      <c r="H10" s="329">
        <f>E10/12*$L$1</f>
        <v>4908999</v>
      </c>
      <c r="I10" s="221">
        <f t="shared" si="1"/>
        <v>2257824.2099999995</v>
      </c>
      <c r="J10" s="829">
        <f t="shared" si="2"/>
        <v>0.45993576490848737</v>
      </c>
      <c r="K10" s="517">
        <f>E10</f>
        <v>4908999</v>
      </c>
    </row>
    <row r="11" spans="1:12" ht="12.75" customHeight="1" x14ac:dyDescent="0.25">
      <c r="A11" s="694" t="s">
        <v>1252</v>
      </c>
      <c r="B11" s="142"/>
      <c r="C11" s="526">
        <v>584618.93999999994</v>
      </c>
      <c r="D11" s="328">
        <v>956359.98109071446</v>
      </c>
      <c r="E11" s="329">
        <v>1571853</v>
      </c>
      <c r="F11" s="329">
        <v>415430.95</v>
      </c>
      <c r="G11" s="329">
        <v>850768.7699999999</v>
      </c>
      <c r="H11" s="329">
        <f>E11/12*$L$1</f>
        <v>1571853</v>
      </c>
      <c r="I11" s="221">
        <f t="shared" si="1"/>
        <v>721084.2300000001</v>
      </c>
      <c r="J11" s="829">
        <f t="shared" si="2"/>
        <v>0.45874787909556436</v>
      </c>
      <c r="K11" s="517">
        <f>E11</f>
        <v>1571853</v>
      </c>
    </row>
    <row r="12" spans="1:12" ht="12.75" customHeight="1" x14ac:dyDescent="0.25">
      <c r="A12" s="694" t="s">
        <v>1253</v>
      </c>
      <c r="B12" s="142"/>
      <c r="C12" s="526">
        <v>0</v>
      </c>
      <c r="D12" s="328">
        <v>0</v>
      </c>
      <c r="E12" s="329">
        <v>0</v>
      </c>
      <c r="F12" s="329">
        <v>0</v>
      </c>
      <c r="G12" s="329">
        <v>0</v>
      </c>
      <c r="H12" s="329">
        <f>E12/12*$L$1</f>
        <v>0</v>
      </c>
      <c r="I12" s="221">
        <f t="shared" si="1"/>
        <v>0</v>
      </c>
      <c r="J12" s="829" t="str">
        <f t="shared" si="2"/>
        <v/>
      </c>
      <c r="K12" s="517">
        <f>E12</f>
        <v>0</v>
      </c>
    </row>
    <row r="13" spans="1:12" ht="12.75" customHeight="1" x14ac:dyDescent="0.25">
      <c r="A13" s="828" t="s">
        <v>1254</v>
      </c>
      <c r="B13" s="142"/>
      <c r="C13" s="111">
        <f t="shared" ref="C13:H13" si="4">SUM(C14:C16)</f>
        <v>1551814.52</v>
      </c>
      <c r="D13" s="43">
        <f t="shared" si="4"/>
        <v>1994775.0640366455</v>
      </c>
      <c r="E13" s="41">
        <f t="shared" si="4"/>
        <v>2194085</v>
      </c>
      <c r="F13" s="41">
        <f t="shared" si="4"/>
        <v>118353.83</v>
      </c>
      <c r="G13" s="41">
        <f t="shared" si="4"/>
        <v>1253429.55</v>
      </c>
      <c r="H13" s="41">
        <f t="shared" si="4"/>
        <v>2194085</v>
      </c>
      <c r="I13" s="221">
        <f t="shared" si="1"/>
        <v>940655.45</v>
      </c>
      <c r="J13" s="829">
        <f t="shared" si="2"/>
        <v>0.42872334025345415</v>
      </c>
      <c r="K13" s="119">
        <f>SUM(K14:K16)</f>
        <v>2194085</v>
      </c>
    </row>
    <row r="14" spans="1:12" ht="12.75" customHeight="1" x14ac:dyDescent="0.25">
      <c r="A14" s="694" t="s">
        <v>1255</v>
      </c>
      <c r="B14" s="142"/>
      <c r="C14" s="526">
        <v>1551814.52</v>
      </c>
      <c r="D14" s="328">
        <v>1994775.0640366455</v>
      </c>
      <c r="E14" s="329">
        <v>2194085</v>
      </c>
      <c r="F14" s="329">
        <v>118353.83</v>
      </c>
      <c r="G14" s="329">
        <v>1253429.55</v>
      </c>
      <c r="H14" s="329">
        <f>E14/12*$L$1</f>
        <v>2194085</v>
      </c>
      <c r="I14" s="221">
        <f t="shared" si="1"/>
        <v>940655.45</v>
      </c>
      <c r="J14" s="829">
        <f t="shared" si="2"/>
        <v>0.42872334025345415</v>
      </c>
      <c r="K14" s="517">
        <f>E14</f>
        <v>2194085</v>
      </c>
    </row>
    <row r="15" spans="1:12" ht="12.75" customHeight="1" x14ac:dyDescent="0.25">
      <c r="A15" s="694" t="s">
        <v>1256</v>
      </c>
      <c r="B15" s="142"/>
      <c r="C15" s="526">
        <v>0</v>
      </c>
      <c r="D15" s="328">
        <v>0</v>
      </c>
      <c r="E15" s="329">
        <v>0</v>
      </c>
      <c r="F15" s="329">
        <v>0</v>
      </c>
      <c r="G15" s="329">
        <v>0</v>
      </c>
      <c r="H15" s="329">
        <f>E15/12*$L$1</f>
        <v>0</v>
      </c>
      <c r="I15" s="221">
        <f t="shared" si="1"/>
        <v>0</v>
      </c>
      <c r="J15" s="829" t="str">
        <f t="shared" si="2"/>
        <v/>
      </c>
      <c r="K15" s="517">
        <f>E15</f>
        <v>0</v>
      </c>
    </row>
    <row r="16" spans="1:12" ht="12.75" customHeight="1" x14ac:dyDescent="0.25">
      <c r="A16" s="694" t="s">
        <v>1257</v>
      </c>
      <c r="B16" s="142"/>
      <c r="C16" s="526">
        <v>0</v>
      </c>
      <c r="D16" s="328">
        <v>0</v>
      </c>
      <c r="E16" s="329">
        <v>0</v>
      </c>
      <c r="F16" s="329">
        <v>0</v>
      </c>
      <c r="G16" s="329">
        <v>0</v>
      </c>
      <c r="H16" s="329">
        <f>E16/12*$L$1</f>
        <v>0</v>
      </c>
      <c r="I16" s="221">
        <f t="shared" si="1"/>
        <v>0</v>
      </c>
      <c r="J16" s="829" t="str">
        <f t="shared" si="2"/>
        <v/>
      </c>
      <c r="K16" s="517">
        <f>E16</f>
        <v>0</v>
      </c>
    </row>
    <row r="17" spans="1:11" ht="12.75" customHeight="1" x14ac:dyDescent="0.25">
      <c r="A17" s="828" t="s">
        <v>1258</v>
      </c>
      <c r="B17" s="142"/>
      <c r="C17" s="111">
        <f t="shared" ref="C17:H17" si="5">SUM(C18:C26)</f>
        <v>11809873.959999999</v>
      </c>
      <c r="D17" s="43">
        <f t="shared" si="5"/>
        <v>20647371.063167579</v>
      </c>
      <c r="E17" s="41">
        <f t="shared" si="5"/>
        <v>23691087</v>
      </c>
      <c r="F17" s="41">
        <f t="shared" si="5"/>
        <v>3319880.1399999997</v>
      </c>
      <c r="G17" s="41">
        <f t="shared" si="5"/>
        <v>10918455.25</v>
      </c>
      <c r="H17" s="41">
        <f t="shared" si="5"/>
        <v>23691087</v>
      </c>
      <c r="I17" s="221">
        <f t="shared" si="1"/>
        <v>12772631.75</v>
      </c>
      <c r="J17" s="829">
        <f t="shared" si="2"/>
        <v>0.53913236442042534</v>
      </c>
      <c r="K17" s="119">
        <f>SUM(K18:K26)</f>
        <v>23691087</v>
      </c>
    </row>
    <row r="18" spans="1:11" ht="12.75" customHeight="1" x14ac:dyDescent="0.25">
      <c r="A18" s="694" t="s">
        <v>1259</v>
      </c>
      <c r="B18" s="142"/>
      <c r="C18" s="526">
        <v>0</v>
      </c>
      <c r="D18" s="328">
        <v>0</v>
      </c>
      <c r="E18" s="329">
        <v>0</v>
      </c>
      <c r="F18" s="329">
        <v>0</v>
      </c>
      <c r="G18" s="329">
        <v>0</v>
      </c>
      <c r="H18" s="329">
        <f t="shared" ref="H18:H26" si="6">E18/12*$L$1</f>
        <v>0</v>
      </c>
      <c r="I18" s="221">
        <f t="shared" si="1"/>
        <v>0</v>
      </c>
      <c r="J18" s="829" t="str">
        <f t="shared" si="2"/>
        <v/>
      </c>
      <c r="K18" s="517">
        <f t="shared" ref="K18:K26" si="7">E18</f>
        <v>0</v>
      </c>
    </row>
    <row r="19" spans="1:11" ht="12.75" customHeight="1" x14ac:dyDescent="0.25">
      <c r="A19" s="694" t="s">
        <v>1260</v>
      </c>
      <c r="B19" s="142"/>
      <c r="C19" s="526">
        <v>0</v>
      </c>
      <c r="D19" s="328">
        <v>0</v>
      </c>
      <c r="E19" s="329">
        <v>0</v>
      </c>
      <c r="F19" s="329">
        <v>0</v>
      </c>
      <c r="G19" s="329">
        <v>0</v>
      </c>
      <c r="H19" s="329">
        <f t="shared" si="6"/>
        <v>0</v>
      </c>
      <c r="I19" s="221">
        <f t="shared" si="1"/>
        <v>0</v>
      </c>
      <c r="J19" s="829" t="str">
        <f t="shared" si="2"/>
        <v/>
      </c>
      <c r="K19" s="517">
        <f t="shared" si="7"/>
        <v>0</v>
      </c>
    </row>
    <row r="20" spans="1:11" ht="12.75" customHeight="1" x14ac:dyDescent="0.25">
      <c r="A20" s="694" t="s">
        <v>1261</v>
      </c>
      <c r="B20" s="142"/>
      <c r="C20" s="526">
        <v>0</v>
      </c>
      <c r="D20" s="328">
        <v>0</v>
      </c>
      <c r="E20" s="329">
        <v>0</v>
      </c>
      <c r="F20" s="329">
        <v>0</v>
      </c>
      <c r="G20" s="329">
        <v>0</v>
      </c>
      <c r="H20" s="329">
        <f t="shared" si="6"/>
        <v>0</v>
      </c>
      <c r="I20" s="221">
        <f t="shared" si="1"/>
        <v>0</v>
      </c>
      <c r="J20" s="829" t="str">
        <f t="shared" si="2"/>
        <v/>
      </c>
      <c r="K20" s="517">
        <f t="shared" si="7"/>
        <v>0</v>
      </c>
    </row>
    <row r="21" spans="1:11" ht="12.75" customHeight="1" x14ac:dyDescent="0.25">
      <c r="A21" s="694" t="s">
        <v>1262</v>
      </c>
      <c r="B21" s="142"/>
      <c r="C21" s="526">
        <v>0</v>
      </c>
      <c r="D21" s="328">
        <v>0</v>
      </c>
      <c r="E21" s="329">
        <v>0</v>
      </c>
      <c r="F21" s="329">
        <v>0</v>
      </c>
      <c r="G21" s="329">
        <v>0</v>
      </c>
      <c r="H21" s="329">
        <f t="shared" si="6"/>
        <v>0</v>
      </c>
      <c r="I21" s="221">
        <f t="shared" si="1"/>
        <v>0</v>
      </c>
      <c r="J21" s="829" t="str">
        <f t="shared" si="2"/>
        <v/>
      </c>
      <c r="K21" s="517">
        <f t="shared" si="7"/>
        <v>0</v>
      </c>
    </row>
    <row r="22" spans="1:11" ht="12.75" customHeight="1" x14ac:dyDescent="0.25">
      <c r="A22" s="694" t="s">
        <v>1263</v>
      </c>
      <c r="B22" s="142"/>
      <c r="C22" s="526">
        <v>0</v>
      </c>
      <c r="D22" s="328">
        <v>0</v>
      </c>
      <c r="E22" s="329">
        <v>0</v>
      </c>
      <c r="F22" s="329">
        <v>0</v>
      </c>
      <c r="G22" s="329">
        <v>0</v>
      </c>
      <c r="H22" s="329">
        <f t="shared" si="6"/>
        <v>0</v>
      </c>
      <c r="I22" s="221">
        <f t="shared" si="1"/>
        <v>0</v>
      </c>
      <c r="J22" s="829" t="str">
        <f t="shared" si="2"/>
        <v/>
      </c>
      <c r="K22" s="517">
        <f t="shared" si="7"/>
        <v>0</v>
      </c>
    </row>
    <row r="23" spans="1:11" ht="12.75" customHeight="1" x14ac:dyDescent="0.25">
      <c r="A23" s="694" t="s">
        <v>1264</v>
      </c>
      <c r="B23" s="142"/>
      <c r="C23" s="526">
        <v>181936.24</v>
      </c>
      <c r="D23" s="328">
        <v>1411709.2467549464</v>
      </c>
      <c r="E23" s="329">
        <v>393964</v>
      </c>
      <c r="F23" s="329">
        <v>4562.91</v>
      </c>
      <c r="G23" s="329">
        <v>119344.49</v>
      </c>
      <c r="H23" s="329">
        <f t="shared" si="6"/>
        <v>393964</v>
      </c>
      <c r="I23" s="221">
        <f t="shared" si="1"/>
        <v>274619.51</v>
      </c>
      <c r="J23" s="829">
        <f t="shared" si="2"/>
        <v>0.6970675239361972</v>
      </c>
      <c r="K23" s="517">
        <f t="shared" si="7"/>
        <v>393964</v>
      </c>
    </row>
    <row r="24" spans="1:11" ht="12.75" customHeight="1" x14ac:dyDescent="0.25">
      <c r="A24" s="694" t="s">
        <v>1265</v>
      </c>
      <c r="B24" s="142"/>
      <c r="C24" s="526">
        <v>5601463.0200000005</v>
      </c>
      <c r="D24" s="328">
        <v>4443761.0020758193</v>
      </c>
      <c r="E24" s="329">
        <v>5817490</v>
      </c>
      <c r="F24" s="329">
        <v>119508.35</v>
      </c>
      <c r="G24" s="329">
        <v>1072416.3799999999</v>
      </c>
      <c r="H24" s="329">
        <f t="shared" si="6"/>
        <v>5817490</v>
      </c>
      <c r="I24" s="221">
        <f t="shared" si="1"/>
        <v>4745073.62</v>
      </c>
      <c r="J24" s="829">
        <f t="shared" si="2"/>
        <v>0.81565651509499804</v>
      </c>
      <c r="K24" s="517">
        <f t="shared" si="7"/>
        <v>5817490</v>
      </c>
    </row>
    <row r="25" spans="1:11" ht="12.75" customHeight="1" x14ac:dyDescent="0.25">
      <c r="A25" s="694" t="s">
        <v>1266</v>
      </c>
      <c r="B25" s="142"/>
      <c r="C25" s="526">
        <v>6026474.6999999983</v>
      </c>
      <c r="D25" s="328">
        <v>14791900.814336812</v>
      </c>
      <c r="E25" s="329">
        <v>17479633</v>
      </c>
      <c r="F25" s="329">
        <v>3195808.88</v>
      </c>
      <c r="G25" s="329">
        <v>9726694.3800000008</v>
      </c>
      <c r="H25" s="329">
        <f t="shared" si="6"/>
        <v>17479633</v>
      </c>
      <c r="I25" s="221">
        <f t="shared" si="1"/>
        <v>7752938.6199999992</v>
      </c>
      <c r="J25" s="829">
        <f t="shared" si="2"/>
        <v>0.44354127000263671</v>
      </c>
      <c r="K25" s="517">
        <f t="shared" si="7"/>
        <v>17479633</v>
      </c>
    </row>
    <row r="26" spans="1:11" ht="12.75" customHeight="1" x14ac:dyDescent="0.25">
      <c r="A26" s="694" t="s">
        <v>1253</v>
      </c>
      <c r="B26" s="142"/>
      <c r="C26" s="526">
        <v>0</v>
      </c>
      <c r="D26" s="328">
        <v>0</v>
      </c>
      <c r="E26" s="329">
        <v>0</v>
      </c>
      <c r="F26" s="329">
        <v>0</v>
      </c>
      <c r="G26" s="329">
        <v>0</v>
      </c>
      <c r="H26" s="329">
        <f t="shared" si="6"/>
        <v>0</v>
      </c>
      <c r="I26" s="221">
        <f t="shared" si="1"/>
        <v>0</v>
      </c>
      <c r="J26" s="829" t="str">
        <f t="shared" si="2"/>
        <v/>
      </c>
      <c r="K26" s="517">
        <f t="shared" si="7"/>
        <v>0</v>
      </c>
    </row>
    <row r="27" spans="1:11" ht="12.75" customHeight="1" x14ac:dyDescent="0.25">
      <c r="A27" s="828" t="s">
        <v>1267</v>
      </c>
      <c r="B27" s="142"/>
      <c r="C27" s="111">
        <f t="shared" ref="C27:H27" si="8">SUM(C28:C37)</f>
        <v>10642627.020000001</v>
      </c>
      <c r="D27" s="43">
        <f t="shared" si="8"/>
        <v>6248608.577037951</v>
      </c>
      <c r="E27" s="41">
        <f t="shared" si="8"/>
        <v>6777764</v>
      </c>
      <c r="F27" s="41">
        <f t="shared" si="8"/>
        <v>1499958.99</v>
      </c>
      <c r="G27" s="41">
        <f t="shared" si="8"/>
        <v>10441179.460000001</v>
      </c>
      <c r="H27" s="41">
        <f t="shared" si="8"/>
        <v>6777764</v>
      </c>
      <c r="I27" s="221">
        <f t="shared" si="1"/>
        <v>-3663415.4600000009</v>
      </c>
      <c r="J27" s="829">
        <f t="shared" si="2"/>
        <v>-0.54050501905938309</v>
      </c>
      <c r="K27" s="119">
        <f>SUM(K28:K37)</f>
        <v>6777764</v>
      </c>
    </row>
    <row r="28" spans="1:11" ht="12.75" customHeight="1" x14ac:dyDescent="0.25">
      <c r="A28" s="694" t="s">
        <v>1268</v>
      </c>
      <c r="B28" s="142"/>
      <c r="C28" s="526">
        <v>1241110.5700000003</v>
      </c>
      <c r="D28" s="328">
        <v>946545.71314371354</v>
      </c>
      <c r="E28" s="329">
        <v>901837</v>
      </c>
      <c r="F28" s="329">
        <v>160973.43</v>
      </c>
      <c r="G28" s="329">
        <v>611851.89999999991</v>
      </c>
      <c r="H28" s="329">
        <f t="shared" ref="H28:H37" si="9">E28/12*$L$1</f>
        <v>901837</v>
      </c>
      <c r="I28" s="221">
        <f t="shared" si="1"/>
        <v>289985.10000000009</v>
      </c>
      <c r="J28" s="829">
        <f t="shared" si="2"/>
        <v>0.32154934871822743</v>
      </c>
      <c r="K28" s="517">
        <f t="shared" ref="K28:K37" si="10">E28</f>
        <v>901837</v>
      </c>
    </row>
    <row r="29" spans="1:11" ht="12.75" customHeight="1" x14ac:dyDescent="0.25">
      <c r="A29" s="694" t="s">
        <v>1269</v>
      </c>
      <c r="B29" s="142"/>
      <c r="C29" s="526">
        <v>0</v>
      </c>
      <c r="D29" s="328">
        <v>0</v>
      </c>
      <c r="E29" s="329">
        <v>0</v>
      </c>
      <c r="F29" s="329">
        <v>0</v>
      </c>
      <c r="G29" s="329">
        <v>0</v>
      </c>
      <c r="H29" s="329">
        <f t="shared" si="9"/>
        <v>0</v>
      </c>
      <c r="I29" s="221">
        <f t="shared" si="1"/>
        <v>0</v>
      </c>
      <c r="J29" s="829" t="str">
        <f t="shared" si="2"/>
        <v/>
      </c>
      <c r="K29" s="517">
        <f t="shared" si="10"/>
        <v>0</v>
      </c>
    </row>
    <row r="30" spans="1:11" ht="12.75" customHeight="1" x14ac:dyDescent="0.25">
      <c r="A30" s="694" t="s">
        <v>1270</v>
      </c>
      <c r="B30" s="142"/>
      <c r="C30" s="526">
        <v>16474.07</v>
      </c>
      <c r="D30" s="328">
        <v>19660.245968144132</v>
      </c>
      <c r="E30" s="329">
        <v>19662</v>
      </c>
      <c r="F30" s="329">
        <v>1173.9100000000001</v>
      </c>
      <c r="G30" s="329">
        <v>2652.17</v>
      </c>
      <c r="H30" s="329">
        <f t="shared" si="9"/>
        <v>19662</v>
      </c>
      <c r="I30" s="221">
        <f t="shared" si="1"/>
        <v>17009.830000000002</v>
      </c>
      <c r="J30" s="829">
        <f t="shared" si="2"/>
        <v>0.86511189095717633</v>
      </c>
      <c r="K30" s="517">
        <f t="shared" si="10"/>
        <v>19662</v>
      </c>
    </row>
    <row r="31" spans="1:11" ht="12.75" customHeight="1" x14ac:dyDescent="0.25">
      <c r="A31" s="694" t="s">
        <v>1271</v>
      </c>
      <c r="B31" s="142"/>
      <c r="C31" s="526">
        <v>301272.5</v>
      </c>
      <c r="D31" s="328">
        <v>14269.533363975581</v>
      </c>
      <c r="E31" s="329">
        <v>1064270</v>
      </c>
      <c r="F31" s="329">
        <v>377151.2</v>
      </c>
      <c r="G31" s="329">
        <v>751004.53</v>
      </c>
      <c r="H31" s="329">
        <f t="shared" si="9"/>
        <v>1064270</v>
      </c>
      <c r="I31" s="221">
        <f t="shared" si="1"/>
        <v>313265.46999999997</v>
      </c>
      <c r="J31" s="829">
        <f t="shared" si="2"/>
        <v>0.29434774070489628</v>
      </c>
      <c r="K31" s="517">
        <f t="shared" si="10"/>
        <v>1064270</v>
      </c>
    </row>
    <row r="32" spans="1:11" ht="12.75" customHeight="1" x14ac:dyDescent="0.25">
      <c r="A32" s="694" t="s">
        <v>1272</v>
      </c>
      <c r="B32" s="142"/>
      <c r="C32" s="526">
        <v>46063.28</v>
      </c>
      <c r="D32" s="328">
        <v>65428.45298000655</v>
      </c>
      <c r="E32" s="329">
        <v>65430</v>
      </c>
      <c r="F32" s="329">
        <v>1738.26</v>
      </c>
      <c r="G32" s="329">
        <v>26593.040000000001</v>
      </c>
      <c r="H32" s="329">
        <f t="shared" si="9"/>
        <v>65430</v>
      </c>
      <c r="I32" s="221">
        <f t="shared" si="1"/>
        <v>38836.959999999999</v>
      </c>
      <c r="J32" s="829">
        <f t="shared" si="2"/>
        <v>0.59356503133119365</v>
      </c>
      <c r="K32" s="517">
        <f t="shared" si="10"/>
        <v>65430</v>
      </c>
    </row>
    <row r="33" spans="1:11" ht="12.75" customHeight="1" x14ac:dyDescent="0.25">
      <c r="A33" s="694" t="s">
        <v>1273</v>
      </c>
      <c r="B33" s="142"/>
      <c r="C33" s="526">
        <v>481003.86000000004</v>
      </c>
      <c r="D33" s="328">
        <v>581351.3592730792</v>
      </c>
      <c r="E33" s="329">
        <v>581350</v>
      </c>
      <c r="F33" s="329">
        <v>98167.709999999992</v>
      </c>
      <c r="G33" s="329">
        <v>469128.58</v>
      </c>
      <c r="H33" s="329">
        <f t="shared" si="9"/>
        <v>581350</v>
      </c>
      <c r="I33" s="221">
        <f t="shared" si="1"/>
        <v>112221.41999999998</v>
      </c>
      <c r="J33" s="829">
        <f t="shared" si="2"/>
        <v>0.19303589920013758</v>
      </c>
      <c r="K33" s="517">
        <f t="shared" si="10"/>
        <v>581350</v>
      </c>
    </row>
    <row r="34" spans="1:11" ht="12.75" customHeight="1" x14ac:dyDescent="0.25">
      <c r="A34" s="694" t="s">
        <v>1274</v>
      </c>
      <c r="B34" s="142"/>
      <c r="C34" s="526">
        <v>8556702.7400000002</v>
      </c>
      <c r="D34" s="328">
        <v>4621353.2723090313</v>
      </c>
      <c r="E34" s="329">
        <v>4145215</v>
      </c>
      <c r="F34" s="329">
        <v>860754.48</v>
      </c>
      <c r="G34" s="329">
        <v>8579949.2400000002</v>
      </c>
      <c r="H34" s="329">
        <f t="shared" si="9"/>
        <v>4145215</v>
      </c>
      <c r="I34" s="221">
        <f t="shared" si="1"/>
        <v>-4434734.24</v>
      </c>
      <c r="J34" s="829">
        <f t="shared" si="2"/>
        <v>-1.0698442034972855</v>
      </c>
      <c r="K34" s="517">
        <f t="shared" si="10"/>
        <v>4145215</v>
      </c>
    </row>
    <row r="35" spans="1:11" ht="12.75" customHeight="1" x14ac:dyDescent="0.25">
      <c r="A35" s="694" t="s">
        <v>1275</v>
      </c>
      <c r="B35" s="142"/>
      <c r="C35" s="526">
        <v>0</v>
      </c>
      <c r="D35" s="328">
        <v>0</v>
      </c>
      <c r="E35" s="329">
        <v>0</v>
      </c>
      <c r="F35" s="329">
        <v>0</v>
      </c>
      <c r="G35" s="329">
        <v>0</v>
      </c>
      <c r="H35" s="329">
        <f t="shared" si="9"/>
        <v>0</v>
      </c>
      <c r="I35" s="221">
        <f t="shared" si="1"/>
        <v>0</v>
      </c>
      <c r="J35" s="829" t="str">
        <f t="shared" si="2"/>
        <v/>
      </c>
      <c r="K35" s="517">
        <f t="shared" si="10"/>
        <v>0</v>
      </c>
    </row>
    <row r="36" spans="1:11" ht="12.75" customHeight="1" x14ac:dyDescent="0.25">
      <c r="A36" s="694" t="s">
        <v>1276</v>
      </c>
      <c r="B36" s="142"/>
      <c r="C36" s="526">
        <v>0</v>
      </c>
      <c r="D36" s="328">
        <v>0</v>
      </c>
      <c r="E36" s="329">
        <v>0</v>
      </c>
      <c r="F36" s="329">
        <v>0</v>
      </c>
      <c r="G36" s="329">
        <v>0</v>
      </c>
      <c r="H36" s="329">
        <f t="shared" si="9"/>
        <v>0</v>
      </c>
      <c r="I36" s="221">
        <f t="shared" si="1"/>
        <v>0</v>
      </c>
      <c r="J36" s="829" t="str">
        <f t="shared" si="2"/>
        <v/>
      </c>
      <c r="K36" s="517">
        <f t="shared" si="10"/>
        <v>0</v>
      </c>
    </row>
    <row r="37" spans="1:11" ht="12.75" customHeight="1" x14ac:dyDescent="0.25">
      <c r="A37" s="694" t="s">
        <v>1253</v>
      </c>
      <c r="B37" s="142"/>
      <c r="C37" s="526">
        <v>0</v>
      </c>
      <c r="D37" s="328">
        <v>0</v>
      </c>
      <c r="E37" s="329">
        <v>0</v>
      </c>
      <c r="F37" s="329">
        <v>0</v>
      </c>
      <c r="G37" s="329">
        <v>0</v>
      </c>
      <c r="H37" s="329">
        <f t="shared" si="9"/>
        <v>0</v>
      </c>
      <c r="I37" s="221">
        <f t="shared" si="1"/>
        <v>0</v>
      </c>
      <c r="J37" s="829" t="str">
        <f t="shared" si="2"/>
        <v/>
      </c>
      <c r="K37" s="517">
        <f t="shared" si="10"/>
        <v>0</v>
      </c>
    </row>
    <row r="38" spans="1:11" ht="12.75" customHeight="1" x14ac:dyDescent="0.25">
      <c r="A38" s="828" t="s">
        <v>1277</v>
      </c>
      <c r="B38" s="142"/>
      <c r="C38" s="111">
        <f t="shared" ref="C38:H38" si="11">SUM(C39:C44)</f>
        <v>9780727.8000000007</v>
      </c>
      <c r="D38" s="43">
        <f t="shared" si="11"/>
        <v>7279550.6525110435</v>
      </c>
      <c r="E38" s="41">
        <f t="shared" si="11"/>
        <v>4744963</v>
      </c>
      <c r="F38" s="41">
        <f t="shared" si="11"/>
        <v>949931.45000000007</v>
      </c>
      <c r="G38" s="41">
        <f t="shared" si="11"/>
        <v>6956971.4000000004</v>
      </c>
      <c r="H38" s="41">
        <f t="shared" si="11"/>
        <v>4744963</v>
      </c>
      <c r="I38" s="221">
        <f t="shared" si="1"/>
        <v>-2212008.4000000004</v>
      </c>
      <c r="J38" s="829">
        <f t="shared" si="2"/>
        <v>-0.46618032637978429</v>
      </c>
      <c r="K38" s="119">
        <f>SUM(K39:K44)</f>
        <v>4744963</v>
      </c>
    </row>
    <row r="39" spans="1:11" ht="12.75" customHeight="1" x14ac:dyDescent="0.25">
      <c r="A39" s="694" t="s">
        <v>1278</v>
      </c>
      <c r="B39" s="142"/>
      <c r="C39" s="526">
        <v>487741.07000000007</v>
      </c>
      <c r="D39" s="328">
        <v>701849.64101331739</v>
      </c>
      <c r="E39" s="329">
        <v>611785</v>
      </c>
      <c r="F39" s="329">
        <v>36642.39</v>
      </c>
      <c r="G39" s="329">
        <v>409760.15</v>
      </c>
      <c r="H39" s="329">
        <f t="shared" ref="H39:H44" si="12">E39/12*$L$1</f>
        <v>611785</v>
      </c>
      <c r="I39" s="221">
        <f t="shared" si="1"/>
        <v>202024.84999999998</v>
      </c>
      <c r="J39" s="829">
        <f t="shared" si="2"/>
        <v>0.33022197340568987</v>
      </c>
      <c r="K39" s="517">
        <f t="shared" ref="K39:K44" si="13">E39</f>
        <v>611785</v>
      </c>
    </row>
    <row r="40" spans="1:11" ht="12.75" customHeight="1" x14ac:dyDescent="0.25">
      <c r="A40" s="694" t="s">
        <v>138</v>
      </c>
      <c r="B40" s="142"/>
      <c r="C40" s="526">
        <v>2225325.1</v>
      </c>
      <c r="D40" s="328">
        <v>3038353.604055393</v>
      </c>
      <c r="E40" s="329">
        <v>1696347</v>
      </c>
      <c r="F40" s="329">
        <v>291087.87</v>
      </c>
      <c r="G40" s="329">
        <v>1489540.88</v>
      </c>
      <c r="H40" s="329">
        <f t="shared" si="12"/>
        <v>1696347</v>
      </c>
      <c r="I40" s="221">
        <f t="shared" si="1"/>
        <v>206806.12000000011</v>
      </c>
      <c r="J40" s="829">
        <f t="shared" si="2"/>
        <v>0.12191262754613302</v>
      </c>
      <c r="K40" s="517">
        <f t="shared" si="13"/>
        <v>1696347</v>
      </c>
    </row>
    <row r="41" spans="1:11" ht="12.75" customHeight="1" x14ac:dyDescent="0.25">
      <c r="A41" s="694" t="s">
        <v>1279</v>
      </c>
      <c r="B41" s="142"/>
      <c r="C41" s="526">
        <v>7049203.3999999994</v>
      </c>
      <c r="D41" s="328">
        <v>3493262.0996890487</v>
      </c>
      <c r="E41" s="329">
        <v>2410361</v>
      </c>
      <c r="F41" s="329">
        <v>622201.19000000006</v>
      </c>
      <c r="G41" s="329">
        <v>5054596.8</v>
      </c>
      <c r="H41" s="329">
        <f t="shared" si="12"/>
        <v>2410361</v>
      </c>
      <c r="I41" s="221">
        <f t="shared" si="1"/>
        <v>-2644235.7999999998</v>
      </c>
      <c r="J41" s="829">
        <f t="shared" si="2"/>
        <v>-1.0970289512649765</v>
      </c>
      <c r="K41" s="517">
        <f t="shared" si="13"/>
        <v>2410361</v>
      </c>
    </row>
    <row r="42" spans="1:11" ht="12.75" customHeight="1" x14ac:dyDescent="0.25">
      <c r="A42" s="694" t="s">
        <v>1280</v>
      </c>
      <c r="B42" s="142"/>
      <c r="C42" s="526">
        <v>6654.07</v>
      </c>
      <c r="D42" s="328">
        <v>8244.6192769636691</v>
      </c>
      <c r="E42" s="329">
        <v>45</v>
      </c>
      <c r="F42" s="329">
        <v>0</v>
      </c>
      <c r="G42" s="329">
        <v>0</v>
      </c>
      <c r="H42" s="329">
        <f t="shared" si="12"/>
        <v>45</v>
      </c>
      <c r="I42" s="221">
        <f t="shared" si="1"/>
        <v>45</v>
      </c>
      <c r="J42" s="829">
        <f t="shared" si="2"/>
        <v>1</v>
      </c>
      <c r="K42" s="517">
        <f t="shared" si="13"/>
        <v>45</v>
      </c>
    </row>
    <row r="43" spans="1:11" ht="12.75" customHeight="1" x14ac:dyDescent="0.25">
      <c r="A43" s="694" t="s">
        <v>1281</v>
      </c>
      <c r="B43" s="142"/>
      <c r="C43" s="526">
        <v>11804.16</v>
      </c>
      <c r="D43" s="328">
        <v>37840.688476320429</v>
      </c>
      <c r="E43" s="329">
        <v>26425</v>
      </c>
      <c r="F43" s="329">
        <v>0</v>
      </c>
      <c r="G43" s="329">
        <v>3073.57</v>
      </c>
      <c r="H43" s="329">
        <f t="shared" si="12"/>
        <v>26425</v>
      </c>
      <c r="I43" s="221">
        <f t="shared" si="1"/>
        <v>23351.43</v>
      </c>
      <c r="J43" s="829">
        <f t="shared" si="2"/>
        <v>0.88368703878902555</v>
      </c>
      <c r="K43" s="517">
        <f t="shared" si="13"/>
        <v>26425</v>
      </c>
    </row>
    <row r="44" spans="1:11" ht="12.75" customHeight="1" x14ac:dyDescent="0.25">
      <c r="A44" s="694" t="s">
        <v>1253</v>
      </c>
      <c r="B44" s="142"/>
      <c r="C44" s="526">
        <v>0</v>
      </c>
      <c r="D44" s="328">
        <v>0</v>
      </c>
      <c r="E44" s="329">
        <v>0</v>
      </c>
      <c r="F44" s="329">
        <v>0</v>
      </c>
      <c r="G44" s="329">
        <v>0</v>
      </c>
      <c r="H44" s="329">
        <f t="shared" si="12"/>
        <v>0</v>
      </c>
      <c r="I44" s="221">
        <f t="shared" si="1"/>
        <v>0</v>
      </c>
      <c r="J44" s="829" t="str">
        <f t="shared" si="2"/>
        <v/>
      </c>
      <c r="K44" s="517">
        <f t="shared" si="13"/>
        <v>0</v>
      </c>
    </row>
    <row r="45" spans="1:11" ht="12.75" customHeight="1" x14ac:dyDescent="0.25">
      <c r="A45" s="828" t="s">
        <v>1282</v>
      </c>
      <c r="B45" s="142"/>
      <c r="C45" s="111">
        <f t="shared" ref="C45:H45" si="14">SUM(C46:C52)</f>
        <v>12484.35</v>
      </c>
      <c r="D45" s="43">
        <f t="shared" si="14"/>
        <v>38052.088970601544</v>
      </c>
      <c r="E45" s="41">
        <f t="shared" si="14"/>
        <v>33296</v>
      </c>
      <c r="F45" s="41">
        <f t="shared" si="14"/>
        <v>0</v>
      </c>
      <c r="G45" s="41">
        <f t="shared" si="14"/>
        <v>2576.5</v>
      </c>
      <c r="H45" s="41">
        <f t="shared" si="14"/>
        <v>33296</v>
      </c>
      <c r="I45" s="221">
        <f t="shared" si="1"/>
        <v>30719.5</v>
      </c>
      <c r="J45" s="829">
        <f t="shared" si="2"/>
        <v>0.9226183325324363</v>
      </c>
      <c r="K45" s="119">
        <f>SUM(K46:K52)</f>
        <v>33296</v>
      </c>
    </row>
    <row r="46" spans="1:11" ht="12.75" customHeight="1" x14ac:dyDescent="0.25">
      <c r="A46" s="694" t="s">
        <v>1283</v>
      </c>
      <c r="B46" s="142"/>
      <c r="C46" s="526">
        <v>0</v>
      </c>
      <c r="D46" s="328">
        <v>0</v>
      </c>
      <c r="E46" s="329">
        <v>0</v>
      </c>
      <c r="F46" s="329">
        <v>0</v>
      </c>
      <c r="G46" s="329">
        <v>0</v>
      </c>
      <c r="H46" s="329">
        <f t="shared" ref="H46:H52" si="15">E46/12*$L$1</f>
        <v>0</v>
      </c>
      <c r="I46" s="221">
        <f t="shared" si="1"/>
        <v>0</v>
      </c>
      <c r="J46" s="829" t="str">
        <f t="shared" si="2"/>
        <v/>
      </c>
      <c r="K46" s="517">
        <f t="shared" ref="K46:K52" si="16">E46</f>
        <v>0</v>
      </c>
    </row>
    <row r="47" spans="1:11" ht="12.75" customHeight="1" x14ac:dyDescent="0.25">
      <c r="A47" s="694" t="s">
        <v>1284</v>
      </c>
      <c r="B47" s="142"/>
      <c r="C47" s="526">
        <v>12484.35</v>
      </c>
      <c r="D47" s="328">
        <v>38052.088970601544</v>
      </c>
      <c r="E47" s="329">
        <v>33296</v>
      </c>
      <c r="F47" s="329">
        <v>0</v>
      </c>
      <c r="G47" s="329">
        <v>2576.5</v>
      </c>
      <c r="H47" s="329">
        <f t="shared" si="15"/>
        <v>33296</v>
      </c>
      <c r="I47" s="221">
        <f t="shared" si="1"/>
        <v>30719.5</v>
      </c>
      <c r="J47" s="829">
        <f t="shared" si="2"/>
        <v>0.9226183325324363</v>
      </c>
      <c r="K47" s="517">
        <f t="shared" si="16"/>
        <v>33296</v>
      </c>
    </row>
    <row r="48" spans="1:11" ht="12.75" customHeight="1" x14ac:dyDescent="0.25">
      <c r="A48" s="694" t="s">
        <v>1285</v>
      </c>
      <c r="B48" s="142"/>
      <c r="C48" s="526">
        <v>0</v>
      </c>
      <c r="D48" s="328">
        <v>0</v>
      </c>
      <c r="E48" s="329">
        <v>0</v>
      </c>
      <c r="F48" s="329">
        <v>0</v>
      </c>
      <c r="G48" s="329">
        <v>0</v>
      </c>
      <c r="H48" s="329">
        <f t="shared" si="15"/>
        <v>0</v>
      </c>
      <c r="I48" s="221">
        <f t="shared" si="1"/>
        <v>0</v>
      </c>
      <c r="J48" s="829" t="str">
        <f t="shared" si="2"/>
        <v/>
      </c>
      <c r="K48" s="517">
        <f t="shared" si="16"/>
        <v>0</v>
      </c>
    </row>
    <row r="49" spans="1:11" ht="12.75" customHeight="1" x14ac:dyDescent="0.25">
      <c r="A49" s="694" t="s">
        <v>1286</v>
      </c>
      <c r="B49" s="142"/>
      <c r="C49" s="526">
        <v>0</v>
      </c>
      <c r="D49" s="328">
        <v>0</v>
      </c>
      <c r="E49" s="329">
        <v>0</v>
      </c>
      <c r="F49" s="329">
        <v>0</v>
      </c>
      <c r="G49" s="329">
        <v>0</v>
      </c>
      <c r="H49" s="329">
        <f t="shared" si="15"/>
        <v>0</v>
      </c>
      <c r="I49" s="221">
        <f t="shared" si="1"/>
        <v>0</v>
      </c>
      <c r="J49" s="829" t="str">
        <f t="shared" si="2"/>
        <v/>
      </c>
      <c r="K49" s="517">
        <f t="shared" si="16"/>
        <v>0</v>
      </c>
    </row>
    <row r="50" spans="1:11" ht="12.75" customHeight="1" x14ac:dyDescent="0.25">
      <c r="A50" s="694" t="s">
        <v>1287</v>
      </c>
      <c r="B50" s="142"/>
      <c r="C50" s="526">
        <v>0</v>
      </c>
      <c r="D50" s="328">
        <v>0</v>
      </c>
      <c r="E50" s="329">
        <v>0</v>
      </c>
      <c r="F50" s="329">
        <v>0</v>
      </c>
      <c r="G50" s="329">
        <v>0</v>
      </c>
      <c r="H50" s="329">
        <f t="shared" si="15"/>
        <v>0</v>
      </c>
      <c r="I50" s="221">
        <f t="shared" si="1"/>
        <v>0</v>
      </c>
      <c r="J50" s="829" t="str">
        <f t="shared" si="2"/>
        <v/>
      </c>
      <c r="K50" s="517">
        <f t="shared" si="16"/>
        <v>0</v>
      </c>
    </row>
    <row r="51" spans="1:11" ht="12.75" customHeight="1" x14ac:dyDescent="0.25">
      <c r="A51" s="694" t="s">
        <v>1288</v>
      </c>
      <c r="B51" s="142"/>
      <c r="C51" s="526">
        <v>0</v>
      </c>
      <c r="D51" s="328">
        <v>0</v>
      </c>
      <c r="E51" s="329">
        <v>0</v>
      </c>
      <c r="F51" s="329">
        <v>0</v>
      </c>
      <c r="G51" s="329">
        <v>0</v>
      </c>
      <c r="H51" s="329">
        <f t="shared" si="15"/>
        <v>0</v>
      </c>
      <c r="I51" s="221">
        <f t="shared" si="1"/>
        <v>0</v>
      </c>
      <c r="J51" s="829" t="str">
        <f t="shared" si="2"/>
        <v/>
      </c>
      <c r="K51" s="517">
        <f t="shared" si="16"/>
        <v>0</v>
      </c>
    </row>
    <row r="52" spans="1:11" ht="12.75" customHeight="1" x14ac:dyDescent="0.25">
      <c r="A52" s="694" t="s">
        <v>1253</v>
      </c>
      <c r="B52" s="142"/>
      <c r="C52" s="526">
        <v>0</v>
      </c>
      <c r="D52" s="328">
        <v>0</v>
      </c>
      <c r="E52" s="329">
        <v>0</v>
      </c>
      <c r="F52" s="329">
        <v>0</v>
      </c>
      <c r="G52" s="329">
        <v>0</v>
      </c>
      <c r="H52" s="329">
        <f t="shared" si="15"/>
        <v>0</v>
      </c>
      <c r="I52" s="221">
        <f t="shared" si="1"/>
        <v>0</v>
      </c>
      <c r="J52" s="829" t="str">
        <f t="shared" si="2"/>
        <v/>
      </c>
      <c r="K52" s="517">
        <f t="shared" si="16"/>
        <v>0</v>
      </c>
    </row>
    <row r="53" spans="1:11" ht="12.75" customHeight="1" x14ac:dyDescent="0.25">
      <c r="A53" s="828" t="s">
        <v>1289</v>
      </c>
      <c r="B53" s="142"/>
      <c r="C53" s="111">
        <f t="shared" ref="C53:H53" si="17">SUM(C54:C62)</f>
        <v>0</v>
      </c>
      <c r="D53" s="43">
        <f t="shared" si="17"/>
        <v>0</v>
      </c>
      <c r="E53" s="41">
        <f t="shared" si="17"/>
        <v>0</v>
      </c>
      <c r="F53" s="41">
        <f t="shared" si="17"/>
        <v>0</v>
      </c>
      <c r="G53" s="41">
        <f t="shared" si="17"/>
        <v>0</v>
      </c>
      <c r="H53" s="41">
        <f t="shared" si="17"/>
        <v>0</v>
      </c>
      <c r="I53" s="221">
        <f t="shared" si="1"/>
        <v>0</v>
      </c>
      <c r="J53" s="829" t="str">
        <f t="shared" si="2"/>
        <v/>
      </c>
      <c r="K53" s="119">
        <f>SUM(K54:K62)</f>
        <v>0</v>
      </c>
    </row>
    <row r="54" spans="1:11" ht="12.75" customHeight="1" x14ac:dyDescent="0.25">
      <c r="A54" s="694" t="s">
        <v>1290</v>
      </c>
      <c r="B54" s="142"/>
      <c r="C54" s="526">
        <v>0</v>
      </c>
      <c r="D54" s="328">
        <v>0</v>
      </c>
      <c r="E54" s="329">
        <v>0</v>
      </c>
      <c r="F54" s="329">
        <v>0</v>
      </c>
      <c r="G54" s="329">
        <v>0</v>
      </c>
      <c r="H54" s="329">
        <f t="shared" ref="H54:H62" si="18">E54/12*$L$1</f>
        <v>0</v>
      </c>
      <c r="I54" s="221">
        <f t="shared" si="1"/>
        <v>0</v>
      </c>
      <c r="J54" s="829" t="str">
        <f t="shared" si="2"/>
        <v/>
      </c>
      <c r="K54" s="517">
        <f t="shared" ref="K54:K62" si="19">E54</f>
        <v>0</v>
      </c>
    </row>
    <row r="55" spans="1:11" ht="12.75" customHeight="1" x14ac:dyDescent="0.25">
      <c r="A55" s="694" t="s">
        <v>1291</v>
      </c>
      <c r="B55" s="142"/>
      <c r="C55" s="526">
        <v>0</v>
      </c>
      <c r="D55" s="328">
        <v>0</v>
      </c>
      <c r="E55" s="329">
        <v>0</v>
      </c>
      <c r="F55" s="329">
        <v>0</v>
      </c>
      <c r="G55" s="329">
        <v>0</v>
      </c>
      <c r="H55" s="329">
        <f t="shared" si="18"/>
        <v>0</v>
      </c>
      <c r="I55" s="221">
        <f t="shared" si="1"/>
        <v>0</v>
      </c>
      <c r="J55" s="829" t="str">
        <f t="shared" si="2"/>
        <v/>
      </c>
      <c r="K55" s="517">
        <f t="shared" si="19"/>
        <v>0</v>
      </c>
    </row>
    <row r="56" spans="1:11" ht="12.75" customHeight="1" x14ac:dyDescent="0.25">
      <c r="A56" s="694" t="s">
        <v>1292</v>
      </c>
      <c r="B56" s="142"/>
      <c r="C56" s="526">
        <v>0</v>
      </c>
      <c r="D56" s="328">
        <v>0</v>
      </c>
      <c r="E56" s="329">
        <v>0</v>
      </c>
      <c r="F56" s="329">
        <v>0</v>
      </c>
      <c r="G56" s="329">
        <v>0</v>
      </c>
      <c r="H56" s="329">
        <f t="shared" si="18"/>
        <v>0</v>
      </c>
      <c r="I56" s="221">
        <f t="shared" si="1"/>
        <v>0</v>
      </c>
      <c r="J56" s="829" t="str">
        <f t="shared" si="2"/>
        <v/>
      </c>
      <c r="K56" s="517">
        <f t="shared" si="19"/>
        <v>0</v>
      </c>
    </row>
    <row r="57" spans="1:11" ht="12.75" customHeight="1" x14ac:dyDescent="0.25">
      <c r="A57" s="694" t="s">
        <v>1255</v>
      </c>
      <c r="B57" s="142"/>
      <c r="C57" s="526">
        <v>0</v>
      </c>
      <c r="D57" s="328">
        <v>0</v>
      </c>
      <c r="E57" s="329">
        <v>0</v>
      </c>
      <c r="F57" s="329">
        <v>0</v>
      </c>
      <c r="G57" s="329">
        <v>0</v>
      </c>
      <c r="H57" s="329">
        <f t="shared" si="18"/>
        <v>0</v>
      </c>
      <c r="I57" s="221">
        <f t="shared" si="1"/>
        <v>0</v>
      </c>
      <c r="J57" s="829" t="str">
        <f t="shared" si="2"/>
        <v/>
      </c>
      <c r="K57" s="517">
        <f t="shared" si="19"/>
        <v>0</v>
      </c>
    </row>
    <row r="58" spans="1:11" ht="12.75" customHeight="1" x14ac:dyDescent="0.25">
      <c r="A58" s="694" t="s">
        <v>1256</v>
      </c>
      <c r="B58" s="142"/>
      <c r="C58" s="526">
        <v>0</v>
      </c>
      <c r="D58" s="328">
        <v>0</v>
      </c>
      <c r="E58" s="329">
        <v>0</v>
      </c>
      <c r="F58" s="329">
        <v>0</v>
      </c>
      <c r="G58" s="329">
        <v>0</v>
      </c>
      <c r="H58" s="329">
        <f t="shared" si="18"/>
        <v>0</v>
      </c>
      <c r="I58" s="221">
        <f t="shared" si="1"/>
        <v>0</v>
      </c>
      <c r="J58" s="829" t="str">
        <f t="shared" si="2"/>
        <v/>
      </c>
      <c r="K58" s="517">
        <f t="shared" si="19"/>
        <v>0</v>
      </c>
    </row>
    <row r="59" spans="1:11" ht="12.75" customHeight="1" x14ac:dyDescent="0.25">
      <c r="A59" s="694" t="s">
        <v>1257</v>
      </c>
      <c r="B59" s="142"/>
      <c r="C59" s="526">
        <v>0</v>
      </c>
      <c r="D59" s="328">
        <v>0</v>
      </c>
      <c r="E59" s="329">
        <v>0</v>
      </c>
      <c r="F59" s="329">
        <v>0</v>
      </c>
      <c r="G59" s="329">
        <v>0</v>
      </c>
      <c r="H59" s="329">
        <f t="shared" si="18"/>
        <v>0</v>
      </c>
      <c r="I59" s="221">
        <f t="shared" si="1"/>
        <v>0</v>
      </c>
      <c r="J59" s="829" t="str">
        <f t="shared" si="2"/>
        <v/>
      </c>
      <c r="K59" s="517">
        <f t="shared" si="19"/>
        <v>0</v>
      </c>
    </row>
    <row r="60" spans="1:11" ht="12.75" customHeight="1" x14ac:dyDescent="0.25">
      <c r="A60" s="694" t="s">
        <v>1263</v>
      </c>
      <c r="B60" s="142"/>
      <c r="C60" s="526">
        <v>0</v>
      </c>
      <c r="D60" s="328">
        <v>0</v>
      </c>
      <c r="E60" s="329">
        <v>0</v>
      </c>
      <c r="F60" s="329">
        <v>0</v>
      </c>
      <c r="G60" s="329">
        <v>0</v>
      </c>
      <c r="H60" s="329">
        <f t="shared" si="18"/>
        <v>0</v>
      </c>
      <c r="I60" s="221">
        <f t="shared" si="1"/>
        <v>0</v>
      </c>
      <c r="J60" s="829" t="str">
        <f t="shared" si="2"/>
        <v/>
      </c>
      <c r="K60" s="517">
        <f t="shared" si="19"/>
        <v>0</v>
      </c>
    </row>
    <row r="61" spans="1:11" ht="12.75" customHeight="1" x14ac:dyDescent="0.25">
      <c r="A61" s="694" t="s">
        <v>1266</v>
      </c>
      <c r="B61" s="142"/>
      <c r="C61" s="526">
        <v>0</v>
      </c>
      <c r="D61" s="328">
        <v>0</v>
      </c>
      <c r="E61" s="329">
        <v>0</v>
      </c>
      <c r="F61" s="329">
        <v>0</v>
      </c>
      <c r="G61" s="329">
        <v>0</v>
      </c>
      <c r="H61" s="329">
        <f t="shared" si="18"/>
        <v>0</v>
      </c>
      <c r="I61" s="221">
        <f t="shared" si="1"/>
        <v>0</v>
      </c>
      <c r="J61" s="829" t="str">
        <f t="shared" si="2"/>
        <v/>
      </c>
      <c r="K61" s="517">
        <f t="shared" si="19"/>
        <v>0</v>
      </c>
    </row>
    <row r="62" spans="1:11" ht="12.75" customHeight="1" x14ac:dyDescent="0.25">
      <c r="A62" s="694" t="s">
        <v>1253</v>
      </c>
      <c r="B62" s="142"/>
      <c r="C62" s="526">
        <v>0</v>
      </c>
      <c r="D62" s="328">
        <v>0</v>
      </c>
      <c r="E62" s="329">
        <v>0</v>
      </c>
      <c r="F62" s="329">
        <v>0</v>
      </c>
      <c r="G62" s="329">
        <v>0</v>
      </c>
      <c r="H62" s="329">
        <f t="shared" si="18"/>
        <v>0</v>
      </c>
      <c r="I62" s="221">
        <f t="shared" si="1"/>
        <v>0</v>
      </c>
      <c r="J62" s="829" t="str">
        <f t="shared" si="2"/>
        <v/>
      </c>
      <c r="K62" s="517">
        <f t="shared" si="19"/>
        <v>0</v>
      </c>
    </row>
    <row r="63" spans="1:11" ht="12.75" customHeight="1" x14ac:dyDescent="0.25">
      <c r="A63" s="828" t="s">
        <v>1293</v>
      </c>
      <c r="B63" s="142"/>
      <c r="C63" s="111">
        <f t="shared" ref="C63:H63" si="20">SUM(C64:C68)</f>
        <v>0</v>
      </c>
      <c r="D63" s="43">
        <f t="shared" si="20"/>
        <v>0</v>
      </c>
      <c r="E63" s="41">
        <f t="shared" si="20"/>
        <v>0</v>
      </c>
      <c r="F63" s="41">
        <f t="shared" si="20"/>
        <v>0</v>
      </c>
      <c r="G63" s="41">
        <f t="shared" si="20"/>
        <v>0</v>
      </c>
      <c r="H63" s="41">
        <f t="shared" si="20"/>
        <v>0</v>
      </c>
      <c r="I63" s="221">
        <f t="shared" si="1"/>
        <v>0</v>
      </c>
      <c r="J63" s="829" t="str">
        <f t="shared" si="2"/>
        <v/>
      </c>
      <c r="K63" s="119">
        <f>SUM(K64:K68)</f>
        <v>0</v>
      </c>
    </row>
    <row r="64" spans="1:11" ht="12.75" customHeight="1" x14ac:dyDescent="0.25">
      <c r="A64" s="694" t="s">
        <v>1294</v>
      </c>
      <c r="B64" s="142"/>
      <c r="C64" s="526">
        <v>0</v>
      </c>
      <c r="D64" s="328">
        <v>0</v>
      </c>
      <c r="E64" s="329">
        <v>0</v>
      </c>
      <c r="F64" s="329">
        <v>0</v>
      </c>
      <c r="G64" s="329">
        <v>0</v>
      </c>
      <c r="H64" s="329">
        <f>E64/12*$L$1</f>
        <v>0</v>
      </c>
      <c r="I64" s="221">
        <f t="shared" si="1"/>
        <v>0</v>
      </c>
      <c r="J64" s="829" t="str">
        <f t="shared" si="2"/>
        <v/>
      </c>
      <c r="K64" s="517">
        <f>E64</f>
        <v>0</v>
      </c>
    </row>
    <row r="65" spans="1:11" ht="12.75" customHeight="1" x14ac:dyDescent="0.25">
      <c r="A65" s="694" t="s">
        <v>1295</v>
      </c>
      <c r="B65" s="142"/>
      <c r="C65" s="526">
        <v>0</v>
      </c>
      <c r="D65" s="328">
        <v>0</v>
      </c>
      <c r="E65" s="329">
        <v>0</v>
      </c>
      <c r="F65" s="329">
        <v>0</v>
      </c>
      <c r="G65" s="329">
        <v>0</v>
      </c>
      <c r="H65" s="329">
        <f>E65/12*$L$1</f>
        <v>0</v>
      </c>
      <c r="I65" s="221">
        <f t="shared" si="1"/>
        <v>0</v>
      </c>
      <c r="J65" s="829" t="str">
        <f t="shared" si="2"/>
        <v/>
      </c>
      <c r="K65" s="517">
        <f>E65</f>
        <v>0</v>
      </c>
    </row>
    <row r="66" spans="1:11" ht="12.75" customHeight="1" x14ac:dyDescent="0.25">
      <c r="A66" s="694" t="s">
        <v>1296</v>
      </c>
      <c r="B66" s="142"/>
      <c r="C66" s="526">
        <v>0</v>
      </c>
      <c r="D66" s="328">
        <v>0</v>
      </c>
      <c r="E66" s="329">
        <v>0</v>
      </c>
      <c r="F66" s="329">
        <v>0</v>
      </c>
      <c r="G66" s="329">
        <v>0</v>
      </c>
      <c r="H66" s="329">
        <f>E66/12*$L$1</f>
        <v>0</v>
      </c>
      <c r="I66" s="221">
        <f t="shared" si="1"/>
        <v>0</v>
      </c>
      <c r="J66" s="829" t="str">
        <f t="shared" si="2"/>
        <v/>
      </c>
      <c r="K66" s="517">
        <f>E66</f>
        <v>0</v>
      </c>
    </row>
    <row r="67" spans="1:11" ht="12.75" customHeight="1" x14ac:dyDescent="0.25">
      <c r="A67" s="694" t="s">
        <v>1297</v>
      </c>
      <c r="B67" s="142"/>
      <c r="C67" s="526">
        <v>0</v>
      </c>
      <c r="D67" s="328">
        <v>0</v>
      </c>
      <c r="E67" s="329">
        <v>0</v>
      </c>
      <c r="F67" s="329">
        <v>0</v>
      </c>
      <c r="G67" s="329">
        <v>0</v>
      </c>
      <c r="H67" s="329">
        <f>E67/12*$L$1</f>
        <v>0</v>
      </c>
      <c r="I67" s="221">
        <f t="shared" si="1"/>
        <v>0</v>
      </c>
      <c r="J67" s="829" t="str">
        <f t="shared" si="2"/>
        <v/>
      </c>
      <c r="K67" s="517">
        <f>E67</f>
        <v>0</v>
      </c>
    </row>
    <row r="68" spans="1:11" ht="12.75" customHeight="1" x14ac:dyDescent="0.25">
      <c r="A68" s="694" t="s">
        <v>1253</v>
      </c>
      <c r="B68" s="142"/>
      <c r="C68" s="526">
        <v>0</v>
      </c>
      <c r="D68" s="328">
        <v>0</v>
      </c>
      <c r="E68" s="329">
        <v>0</v>
      </c>
      <c r="F68" s="329">
        <v>0</v>
      </c>
      <c r="G68" s="329">
        <v>0</v>
      </c>
      <c r="H68" s="329">
        <f>E68/12*$L$1</f>
        <v>0</v>
      </c>
      <c r="I68" s="221">
        <f t="shared" si="1"/>
        <v>0</v>
      </c>
      <c r="J68" s="829" t="str">
        <f t="shared" si="2"/>
        <v/>
      </c>
      <c r="K68" s="517">
        <f>E68</f>
        <v>0</v>
      </c>
    </row>
    <row r="69" spans="1:11" ht="12.75" customHeight="1" x14ac:dyDescent="0.25">
      <c r="A69" s="828" t="s">
        <v>1298</v>
      </c>
      <c r="B69" s="142"/>
      <c r="C69" s="111">
        <f t="shared" ref="C69:H69" si="21">SUM(C70:C73)</f>
        <v>0</v>
      </c>
      <c r="D69" s="43">
        <f t="shared" si="21"/>
        <v>0</v>
      </c>
      <c r="E69" s="41">
        <f t="shared" si="21"/>
        <v>0</v>
      </c>
      <c r="F69" s="41">
        <f t="shared" si="21"/>
        <v>0</v>
      </c>
      <c r="G69" s="41">
        <f t="shared" si="21"/>
        <v>0</v>
      </c>
      <c r="H69" s="41">
        <f t="shared" si="21"/>
        <v>0</v>
      </c>
      <c r="I69" s="221">
        <f t="shared" si="1"/>
        <v>0</v>
      </c>
      <c r="J69" s="829" t="str">
        <f t="shared" si="2"/>
        <v/>
      </c>
      <c r="K69" s="119">
        <f>SUM(K70:K73)</f>
        <v>0</v>
      </c>
    </row>
    <row r="70" spans="1:11" ht="12.75" customHeight="1" x14ac:dyDescent="0.25">
      <c r="A70" s="694" t="s">
        <v>1299</v>
      </c>
      <c r="B70" s="142"/>
      <c r="C70" s="526">
        <v>0</v>
      </c>
      <c r="D70" s="328">
        <v>0</v>
      </c>
      <c r="E70" s="329">
        <v>0</v>
      </c>
      <c r="F70" s="329">
        <v>0</v>
      </c>
      <c r="G70" s="329">
        <v>0</v>
      </c>
      <c r="H70" s="329">
        <f>E70/12*$L$1</f>
        <v>0</v>
      </c>
      <c r="I70" s="221">
        <f t="shared" si="1"/>
        <v>0</v>
      </c>
      <c r="J70" s="829" t="str">
        <f t="shared" si="2"/>
        <v/>
      </c>
      <c r="K70" s="517">
        <f>E70</f>
        <v>0</v>
      </c>
    </row>
    <row r="71" spans="1:11" ht="12.75" customHeight="1" x14ac:dyDescent="0.25">
      <c r="A71" s="694" t="s">
        <v>1300</v>
      </c>
      <c r="B71" s="142"/>
      <c r="C71" s="526">
        <v>0</v>
      </c>
      <c r="D71" s="328">
        <v>0</v>
      </c>
      <c r="E71" s="329">
        <v>0</v>
      </c>
      <c r="F71" s="329">
        <v>0</v>
      </c>
      <c r="G71" s="329">
        <v>0</v>
      </c>
      <c r="H71" s="329">
        <f>E71/12*$L$1</f>
        <v>0</v>
      </c>
      <c r="I71" s="221">
        <f t="shared" si="1"/>
        <v>0</v>
      </c>
      <c r="J71" s="829" t="str">
        <f t="shared" si="2"/>
        <v/>
      </c>
      <c r="K71" s="517">
        <f>E71</f>
        <v>0</v>
      </c>
    </row>
    <row r="72" spans="1:11" ht="12.75" customHeight="1" x14ac:dyDescent="0.25">
      <c r="A72" s="694" t="s">
        <v>1301</v>
      </c>
      <c r="B72" s="142"/>
      <c r="C72" s="526">
        <v>0</v>
      </c>
      <c r="D72" s="328">
        <v>0</v>
      </c>
      <c r="E72" s="329">
        <v>0</v>
      </c>
      <c r="F72" s="329">
        <v>0</v>
      </c>
      <c r="G72" s="329">
        <v>0</v>
      </c>
      <c r="H72" s="329">
        <f>E72/12*$L$1</f>
        <v>0</v>
      </c>
      <c r="I72" s="221">
        <f t="shared" si="1"/>
        <v>0</v>
      </c>
      <c r="J72" s="829" t="str">
        <f t="shared" si="2"/>
        <v/>
      </c>
      <c r="K72" s="517">
        <f>E72</f>
        <v>0</v>
      </c>
    </row>
    <row r="73" spans="1:11" ht="12.75" customHeight="1" x14ac:dyDescent="0.25">
      <c r="A73" s="694" t="s">
        <v>1253</v>
      </c>
      <c r="B73" s="142"/>
      <c r="C73" s="526">
        <v>0</v>
      </c>
      <c r="D73" s="328">
        <v>0</v>
      </c>
      <c r="E73" s="329">
        <v>0</v>
      </c>
      <c r="F73" s="329">
        <v>0</v>
      </c>
      <c r="G73" s="329">
        <v>0</v>
      </c>
      <c r="H73" s="329">
        <f>E73/12*$L$1</f>
        <v>0</v>
      </c>
      <c r="I73" s="221">
        <f t="shared" si="1"/>
        <v>0</v>
      </c>
      <c r="J73" s="829" t="str">
        <f t="shared" si="2"/>
        <v/>
      </c>
      <c r="K73" s="517">
        <f>E73</f>
        <v>0</v>
      </c>
    </row>
    <row r="74" spans="1:11" ht="5.25" customHeight="1" x14ac:dyDescent="0.25">
      <c r="A74" s="694"/>
      <c r="B74" s="142"/>
      <c r="C74" s="111"/>
      <c r="D74" s="43"/>
      <c r="E74" s="41"/>
      <c r="F74" s="41"/>
      <c r="G74" s="41"/>
      <c r="H74" s="41"/>
      <c r="I74" s="221"/>
      <c r="J74" s="829" t="str">
        <f t="shared" si="2"/>
        <v/>
      </c>
      <c r="K74" s="119"/>
    </row>
    <row r="75" spans="1:11" ht="12.75" customHeight="1" x14ac:dyDescent="0.25">
      <c r="A75" s="32" t="s">
        <v>1322</v>
      </c>
      <c r="B75" s="142"/>
      <c r="C75" s="472">
        <f t="shared" ref="C75:H75" si="22">+C76+C99</f>
        <v>4216467.2300000004</v>
      </c>
      <c r="D75" s="830">
        <f>D76+D99</f>
        <v>5016322.3287966885</v>
      </c>
      <c r="E75" s="474">
        <f>E76+E99</f>
        <v>4284423</v>
      </c>
      <c r="F75" s="474">
        <f t="shared" si="22"/>
        <v>631384.46</v>
      </c>
      <c r="G75" s="474">
        <f t="shared" si="22"/>
        <v>3594692.0100000007</v>
      </c>
      <c r="H75" s="474">
        <f t="shared" si="22"/>
        <v>4284423</v>
      </c>
      <c r="I75" s="474">
        <f t="shared" si="1"/>
        <v>689730.98999999929</v>
      </c>
      <c r="J75" s="827">
        <f t="shared" si="2"/>
        <v>0.16098573600225732</v>
      </c>
      <c r="K75" s="476">
        <f>+K76+K99</f>
        <v>4284423</v>
      </c>
    </row>
    <row r="76" spans="1:11" ht="12.75" customHeight="1" x14ac:dyDescent="0.25">
      <c r="A76" s="828" t="s">
        <v>1302</v>
      </c>
      <c r="B76" s="142"/>
      <c r="C76" s="111">
        <f t="shared" ref="C76:H76" si="23">SUM(C77:C98)</f>
        <v>2364318.5300000003</v>
      </c>
      <c r="D76" s="43">
        <f t="shared" si="23"/>
        <v>2789302.6817428055</v>
      </c>
      <c r="E76" s="41">
        <f t="shared" si="23"/>
        <v>2454756</v>
      </c>
      <c r="F76" s="41">
        <f t="shared" si="23"/>
        <v>356209.12</v>
      </c>
      <c r="G76" s="41">
        <f t="shared" si="23"/>
        <v>2095413.42</v>
      </c>
      <c r="H76" s="41">
        <f t="shared" si="23"/>
        <v>2454756</v>
      </c>
      <c r="I76" s="221">
        <f t="shared" si="1"/>
        <v>359342.58000000007</v>
      </c>
      <c r="J76" s="829">
        <f t="shared" si="2"/>
        <v>0.14638627219976244</v>
      </c>
      <c r="K76" s="119">
        <f>SUM(K77:K98)</f>
        <v>2454756</v>
      </c>
    </row>
    <row r="77" spans="1:11" ht="12.75" customHeight="1" x14ac:dyDescent="0.25">
      <c r="A77" s="694" t="s">
        <v>1303</v>
      </c>
      <c r="B77" s="142"/>
      <c r="C77" s="526">
        <v>1528730.6700000004</v>
      </c>
      <c r="D77" s="531">
        <v>100098.13404211018</v>
      </c>
      <c r="E77" s="329">
        <v>73398</v>
      </c>
      <c r="F77" s="329">
        <v>255329.97999999998</v>
      </c>
      <c r="G77" s="329">
        <v>1367402.0899999999</v>
      </c>
      <c r="H77" s="329">
        <f t="shared" ref="H77:H98" si="24">E77/12*$L$1</f>
        <v>73398</v>
      </c>
      <c r="I77" s="41">
        <f t="shared" si="1"/>
        <v>-1294004.0899999999</v>
      </c>
      <c r="J77" s="826">
        <f t="shared" si="2"/>
        <v>-17.629963895473988</v>
      </c>
      <c r="K77" s="517">
        <f t="shared" ref="K77:K98" si="25">E77</f>
        <v>73398</v>
      </c>
    </row>
    <row r="78" spans="1:11" ht="12.75" customHeight="1" x14ac:dyDescent="0.25">
      <c r="A78" s="694" t="s">
        <v>1304</v>
      </c>
      <c r="B78" s="142"/>
      <c r="C78" s="526">
        <v>0</v>
      </c>
      <c r="D78" s="531">
        <v>243639.06965899045</v>
      </c>
      <c r="E78" s="329">
        <v>248194</v>
      </c>
      <c r="F78" s="329">
        <v>0</v>
      </c>
      <c r="G78" s="329">
        <v>0</v>
      </c>
      <c r="H78" s="329">
        <f t="shared" si="24"/>
        <v>248194</v>
      </c>
      <c r="I78" s="41">
        <f t="shared" si="1"/>
        <v>248194</v>
      </c>
      <c r="J78" s="826">
        <f t="shared" si="2"/>
        <v>1</v>
      </c>
      <c r="K78" s="517">
        <f t="shared" si="25"/>
        <v>248194</v>
      </c>
    </row>
    <row r="79" spans="1:11" ht="12.75" customHeight="1" x14ac:dyDescent="0.25">
      <c r="A79" s="694" t="s">
        <v>1305</v>
      </c>
      <c r="B79" s="142"/>
      <c r="C79" s="526">
        <v>0</v>
      </c>
      <c r="D79" s="531">
        <v>0</v>
      </c>
      <c r="E79" s="329">
        <v>0</v>
      </c>
      <c r="F79" s="329">
        <v>0</v>
      </c>
      <c r="G79" s="329">
        <v>0</v>
      </c>
      <c r="H79" s="329">
        <f t="shared" si="24"/>
        <v>0</v>
      </c>
      <c r="I79" s="41">
        <f t="shared" si="1"/>
        <v>0</v>
      </c>
      <c r="J79" s="826" t="str">
        <f t="shared" si="2"/>
        <v/>
      </c>
      <c r="K79" s="517">
        <f t="shared" si="25"/>
        <v>0</v>
      </c>
    </row>
    <row r="80" spans="1:11" ht="12.75" customHeight="1" x14ac:dyDescent="0.25">
      <c r="A80" s="694" t="s">
        <v>1306</v>
      </c>
      <c r="B80" s="142"/>
      <c r="C80" s="526">
        <v>0</v>
      </c>
      <c r="D80" s="531">
        <v>0</v>
      </c>
      <c r="E80" s="329">
        <v>0</v>
      </c>
      <c r="F80" s="329">
        <v>0</v>
      </c>
      <c r="G80" s="329">
        <v>0</v>
      </c>
      <c r="H80" s="329">
        <f t="shared" si="24"/>
        <v>0</v>
      </c>
      <c r="I80" s="41">
        <f t="shared" si="1"/>
        <v>0</v>
      </c>
      <c r="J80" s="826" t="str">
        <f t="shared" si="2"/>
        <v/>
      </c>
      <c r="K80" s="517">
        <f t="shared" si="25"/>
        <v>0</v>
      </c>
    </row>
    <row r="81" spans="1:11" ht="12.75" customHeight="1" x14ac:dyDescent="0.25">
      <c r="A81" s="694" t="s">
        <v>1307</v>
      </c>
      <c r="B81" s="142"/>
      <c r="C81" s="526">
        <v>0</v>
      </c>
      <c r="D81" s="531">
        <v>52321.622334577129</v>
      </c>
      <c r="E81" s="329">
        <v>23411</v>
      </c>
      <c r="F81" s="329">
        <v>0</v>
      </c>
      <c r="G81" s="329">
        <v>0</v>
      </c>
      <c r="H81" s="329">
        <f t="shared" si="24"/>
        <v>23411</v>
      </c>
      <c r="I81" s="41">
        <f t="shared" si="1"/>
        <v>23411</v>
      </c>
      <c r="J81" s="826">
        <f t="shared" si="2"/>
        <v>1</v>
      </c>
      <c r="K81" s="517">
        <f t="shared" si="25"/>
        <v>23411</v>
      </c>
    </row>
    <row r="82" spans="1:11" ht="12.75" customHeight="1" x14ac:dyDescent="0.25">
      <c r="A82" s="694" t="s">
        <v>1308</v>
      </c>
      <c r="B82" s="142"/>
      <c r="C82" s="526">
        <v>0</v>
      </c>
      <c r="D82" s="531">
        <v>0</v>
      </c>
      <c r="E82" s="329">
        <v>0</v>
      </c>
      <c r="F82" s="329">
        <v>0</v>
      </c>
      <c r="G82" s="329">
        <v>0</v>
      </c>
      <c r="H82" s="329">
        <f t="shared" si="24"/>
        <v>0</v>
      </c>
      <c r="I82" s="41">
        <f t="shared" si="1"/>
        <v>0</v>
      </c>
      <c r="J82" s="826" t="str">
        <f t="shared" si="2"/>
        <v/>
      </c>
      <c r="K82" s="517">
        <f t="shared" si="25"/>
        <v>0</v>
      </c>
    </row>
    <row r="83" spans="1:11" ht="12.75" customHeight="1" x14ac:dyDescent="0.25">
      <c r="A83" s="694" t="s">
        <v>1309</v>
      </c>
      <c r="B83" s="142"/>
      <c r="C83" s="526">
        <v>0</v>
      </c>
      <c r="D83" s="531">
        <v>0</v>
      </c>
      <c r="E83" s="329">
        <v>0</v>
      </c>
      <c r="F83" s="329">
        <v>0</v>
      </c>
      <c r="G83" s="329">
        <v>0</v>
      </c>
      <c r="H83" s="329">
        <f t="shared" si="24"/>
        <v>0</v>
      </c>
      <c r="I83" s="41">
        <f t="shared" si="1"/>
        <v>0</v>
      </c>
      <c r="J83" s="826" t="str">
        <f t="shared" si="2"/>
        <v/>
      </c>
      <c r="K83" s="517">
        <f t="shared" si="25"/>
        <v>0</v>
      </c>
    </row>
    <row r="84" spans="1:11" ht="12.75" customHeight="1" x14ac:dyDescent="0.25">
      <c r="A84" s="694" t="s">
        <v>1310</v>
      </c>
      <c r="B84" s="142"/>
      <c r="C84" s="526">
        <v>0</v>
      </c>
      <c r="D84" s="531">
        <v>0</v>
      </c>
      <c r="E84" s="329">
        <v>0</v>
      </c>
      <c r="F84" s="329">
        <v>0</v>
      </c>
      <c r="G84" s="329">
        <v>0</v>
      </c>
      <c r="H84" s="329">
        <f t="shared" si="24"/>
        <v>0</v>
      </c>
      <c r="I84" s="41">
        <f t="shared" si="1"/>
        <v>0</v>
      </c>
      <c r="J84" s="826" t="str">
        <f t="shared" si="2"/>
        <v/>
      </c>
      <c r="K84" s="517">
        <f t="shared" si="25"/>
        <v>0</v>
      </c>
    </row>
    <row r="85" spans="1:11" ht="12.75" customHeight="1" x14ac:dyDescent="0.25">
      <c r="A85" s="694" t="s">
        <v>1186</v>
      </c>
      <c r="B85" s="142"/>
      <c r="C85" s="526">
        <v>0</v>
      </c>
      <c r="D85" s="531">
        <v>0</v>
      </c>
      <c r="E85" s="329">
        <v>0</v>
      </c>
      <c r="F85" s="329">
        <v>0</v>
      </c>
      <c r="G85" s="329">
        <v>0</v>
      </c>
      <c r="H85" s="329">
        <f t="shared" si="24"/>
        <v>0</v>
      </c>
      <c r="I85" s="41">
        <f t="shared" si="1"/>
        <v>0</v>
      </c>
      <c r="J85" s="826" t="str">
        <f t="shared" si="2"/>
        <v/>
      </c>
      <c r="K85" s="517">
        <f t="shared" si="25"/>
        <v>0</v>
      </c>
    </row>
    <row r="86" spans="1:11" ht="12.75" customHeight="1" x14ac:dyDescent="0.25">
      <c r="A86" s="694" t="s">
        <v>564</v>
      </c>
      <c r="B86" s="142"/>
      <c r="C86" s="526">
        <v>0</v>
      </c>
      <c r="D86" s="531">
        <v>314014.29420517525</v>
      </c>
      <c r="E86" s="329">
        <v>221377</v>
      </c>
      <c r="F86" s="329">
        <v>0</v>
      </c>
      <c r="G86" s="329">
        <v>0</v>
      </c>
      <c r="H86" s="329">
        <f t="shared" si="24"/>
        <v>221377</v>
      </c>
      <c r="I86" s="41">
        <f t="shared" si="1"/>
        <v>221377</v>
      </c>
      <c r="J86" s="826">
        <f t="shared" si="2"/>
        <v>1</v>
      </c>
      <c r="K86" s="517">
        <f t="shared" si="25"/>
        <v>221377</v>
      </c>
    </row>
    <row r="87" spans="1:11" ht="12.75" customHeight="1" x14ac:dyDescent="0.25">
      <c r="A87" s="694" t="s">
        <v>1311</v>
      </c>
      <c r="B87" s="142"/>
      <c r="C87" s="526">
        <v>0</v>
      </c>
      <c r="D87" s="531">
        <v>295960.69199356757</v>
      </c>
      <c r="E87" s="329">
        <v>251810</v>
      </c>
      <c r="F87" s="329">
        <v>0</v>
      </c>
      <c r="G87" s="329">
        <v>0</v>
      </c>
      <c r="H87" s="329">
        <f t="shared" si="24"/>
        <v>251810</v>
      </c>
      <c r="I87" s="41">
        <f t="shared" si="1"/>
        <v>251810</v>
      </c>
      <c r="J87" s="826">
        <f t="shared" si="2"/>
        <v>1</v>
      </c>
      <c r="K87" s="517">
        <f t="shared" si="25"/>
        <v>251810</v>
      </c>
    </row>
    <row r="88" spans="1:11" ht="12.75" customHeight="1" x14ac:dyDescent="0.25">
      <c r="A88" s="694" t="s">
        <v>170</v>
      </c>
      <c r="B88" s="142"/>
      <c r="C88" s="526">
        <v>0</v>
      </c>
      <c r="D88" s="531">
        <v>0</v>
      </c>
      <c r="E88" s="329">
        <v>0</v>
      </c>
      <c r="F88" s="329">
        <v>0</v>
      </c>
      <c r="G88" s="329">
        <v>0</v>
      </c>
      <c r="H88" s="329">
        <f t="shared" si="24"/>
        <v>0</v>
      </c>
      <c r="I88" s="41">
        <f t="shared" si="1"/>
        <v>0</v>
      </c>
      <c r="J88" s="826" t="str">
        <f t="shared" si="2"/>
        <v/>
      </c>
      <c r="K88" s="517">
        <f t="shared" si="25"/>
        <v>0</v>
      </c>
    </row>
    <row r="89" spans="1:11" ht="12.75" customHeight="1" x14ac:dyDescent="0.25">
      <c r="A89" s="694" t="s">
        <v>1312</v>
      </c>
      <c r="B89" s="142"/>
      <c r="C89" s="526">
        <v>0</v>
      </c>
      <c r="D89" s="531">
        <v>0</v>
      </c>
      <c r="E89" s="329">
        <v>0</v>
      </c>
      <c r="F89" s="329">
        <v>0</v>
      </c>
      <c r="G89" s="329">
        <v>0</v>
      </c>
      <c r="H89" s="329">
        <f t="shared" si="24"/>
        <v>0</v>
      </c>
      <c r="I89" s="41">
        <f t="shared" si="1"/>
        <v>0</v>
      </c>
      <c r="J89" s="826" t="str">
        <f t="shared" si="2"/>
        <v/>
      </c>
      <c r="K89" s="517">
        <f t="shared" si="25"/>
        <v>0</v>
      </c>
    </row>
    <row r="90" spans="1:11" ht="12.75" customHeight="1" x14ac:dyDescent="0.25">
      <c r="A90" s="694" t="s">
        <v>1313</v>
      </c>
      <c r="B90" s="142"/>
      <c r="C90" s="526">
        <v>835587.85999999987</v>
      </c>
      <c r="D90" s="531">
        <v>1646809.8504499225</v>
      </c>
      <c r="E90" s="329">
        <v>1500423</v>
      </c>
      <c r="F90" s="329">
        <v>100879.14</v>
      </c>
      <c r="G90" s="329">
        <v>728011.33</v>
      </c>
      <c r="H90" s="329">
        <f t="shared" si="24"/>
        <v>1500423</v>
      </c>
      <c r="I90" s="41">
        <f t="shared" si="1"/>
        <v>772411.67</v>
      </c>
      <c r="J90" s="826">
        <f t="shared" si="2"/>
        <v>0.51479594087800573</v>
      </c>
      <c r="K90" s="517">
        <f t="shared" si="25"/>
        <v>1500423</v>
      </c>
    </row>
    <row r="91" spans="1:11" ht="12.75" customHeight="1" x14ac:dyDescent="0.25">
      <c r="A91" s="694" t="s">
        <v>1314</v>
      </c>
      <c r="B91" s="142"/>
      <c r="C91" s="526">
        <v>0</v>
      </c>
      <c r="D91" s="531">
        <v>317.10074142167957</v>
      </c>
      <c r="E91" s="329">
        <v>0</v>
      </c>
      <c r="F91" s="329">
        <v>0</v>
      </c>
      <c r="G91" s="329">
        <v>0</v>
      </c>
      <c r="H91" s="329">
        <f t="shared" si="24"/>
        <v>0</v>
      </c>
      <c r="I91" s="41">
        <f t="shared" si="1"/>
        <v>0</v>
      </c>
      <c r="J91" s="826" t="str">
        <f t="shared" si="2"/>
        <v/>
      </c>
      <c r="K91" s="517">
        <f t="shared" si="25"/>
        <v>0</v>
      </c>
    </row>
    <row r="92" spans="1:11" ht="12.75" customHeight="1" x14ac:dyDescent="0.25">
      <c r="A92" s="694" t="s">
        <v>1315</v>
      </c>
      <c r="B92" s="142"/>
      <c r="C92" s="526">
        <v>0</v>
      </c>
      <c r="D92" s="531">
        <v>0</v>
      </c>
      <c r="E92" s="329">
        <v>0</v>
      </c>
      <c r="F92" s="329">
        <v>0</v>
      </c>
      <c r="G92" s="329">
        <v>0</v>
      </c>
      <c r="H92" s="329">
        <f t="shared" si="24"/>
        <v>0</v>
      </c>
      <c r="I92" s="41">
        <f t="shared" si="1"/>
        <v>0</v>
      </c>
      <c r="J92" s="826" t="str">
        <f t="shared" si="2"/>
        <v/>
      </c>
      <c r="K92" s="517">
        <f t="shared" si="25"/>
        <v>0</v>
      </c>
    </row>
    <row r="93" spans="1:11" ht="12.75" customHeight="1" x14ac:dyDescent="0.25">
      <c r="A93" s="694" t="s">
        <v>448</v>
      </c>
      <c r="B93" s="142"/>
      <c r="C93" s="526">
        <v>0</v>
      </c>
      <c r="D93" s="531">
        <v>0</v>
      </c>
      <c r="E93" s="329">
        <v>0</v>
      </c>
      <c r="F93" s="329">
        <v>0</v>
      </c>
      <c r="G93" s="329">
        <v>0</v>
      </c>
      <c r="H93" s="329">
        <f t="shared" si="24"/>
        <v>0</v>
      </c>
      <c r="I93" s="41">
        <f t="shared" si="1"/>
        <v>0</v>
      </c>
      <c r="J93" s="826" t="str">
        <f t="shared" si="2"/>
        <v/>
      </c>
      <c r="K93" s="517">
        <f t="shared" si="25"/>
        <v>0</v>
      </c>
    </row>
    <row r="94" spans="1:11" ht="12.75" customHeight="1" x14ac:dyDescent="0.25">
      <c r="A94" s="694" t="s">
        <v>1316</v>
      </c>
      <c r="B94" s="142"/>
      <c r="C94" s="526">
        <v>0</v>
      </c>
      <c r="D94" s="531">
        <v>0</v>
      </c>
      <c r="E94" s="329">
        <v>0</v>
      </c>
      <c r="F94" s="329">
        <v>0</v>
      </c>
      <c r="G94" s="329">
        <v>0</v>
      </c>
      <c r="H94" s="329">
        <f t="shared" si="24"/>
        <v>0</v>
      </c>
      <c r="I94" s="41">
        <f t="shared" si="1"/>
        <v>0</v>
      </c>
      <c r="J94" s="826" t="str">
        <f t="shared" si="2"/>
        <v/>
      </c>
      <c r="K94" s="517">
        <f t="shared" si="25"/>
        <v>0</v>
      </c>
    </row>
    <row r="95" spans="1:11" ht="12.75" customHeight="1" x14ac:dyDescent="0.25">
      <c r="A95" s="694" t="s">
        <v>447</v>
      </c>
      <c r="B95" s="142"/>
      <c r="C95" s="526">
        <v>0</v>
      </c>
      <c r="D95" s="531">
        <v>0</v>
      </c>
      <c r="E95" s="329">
        <v>0</v>
      </c>
      <c r="F95" s="329">
        <v>0</v>
      </c>
      <c r="G95" s="329">
        <v>0</v>
      </c>
      <c r="H95" s="329">
        <f t="shared" si="24"/>
        <v>0</v>
      </c>
      <c r="I95" s="41">
        <f t="shared" si="1"/>
        <v>0</v>
      </c>
      <c r="J95" s="826" t="str">
        <f t="shared" si="2"/>
        <v/>
      </c>
      <c r="K95" s="517">
        <f t="shared" si="25"/>
        <v>0</v>
      </c>
    </row>
    <row r="96" spans="1:11" ht="12.75" customHeight="1" x14ac:dyDescent="0.25">
      <c r="A96" s="694" t="s">
        <v>1317</v>
      </c>
      <c r="B96" s="142"/>
      <c r="C96" s="526">
        <v>0</v>
      </c>
      <c r="D96" s="531">
        <v>136141.9183170411</v>
      </c>
      <c r="E96" s="329">
        <v>136143</v>
      </c>
      <c r="F96" s="329">
        <v>0</v>
      </c>
      <c r="G96" s="329">
        <v>0</v>
      </c>
      <c r="H96" s="329">
        <f t="shared" si="24"/>
        <v>136143</v>
      </c>
      <c r="I96" s="41">
        <f t="shared" si="1"/>
        <v>136143</v>
      </c>
      <c r="J96" s="826">
        <f t="shared" si="2"/>
        <v>1</v>
      </c>
      <c r="K96" s="517">
        <f t="shared" si="25"/>
        <v>136143</v>
      </c>
    </row>
    <row r="97" spans="1:11" ht="12.75" customHeight="1" x14ac:dyDescent="0.25">
      <c r="A97" s="694" t="s">
        <v>1318</v>
      </c>
      <c r="B97" s="142"/>
      <c r="C97" s="526">
        <v>0</v>
      </c>
      <c r="D97" s="531">
        <v>0</v>
      </c>
      <c r="E97" s="329">
        <v>0</v>
      </c>
      <c r="F97" s="329">
        <v>0</v>
      </c>
      <c r="G97" s="329">
        <v>0</v>
      </c>
      <c r="H97" s="329">
        <f t="shared" si="24"/>
        <v>0</v>
      </c>
      <c r="I97" s="41">
        <f t="shared" si="1"/>
        <v>0</v>
      </c>
      <c r="J97" s="826" t="str">
        <f t="shared" si="2"/>
        <v/>
      </c>
      <c r="K97" s="517">
        <f t="shared" si="25"/>
        <v>0</v>
      </c>
    </row>
    <row r="98" spans="1:11" ht="12.75" customHeight="1" x14ac:dyDescent="0.25">
      <c r="A98" s="694" t="s">
        <v>1253</v>
      </c>
      <c r="B98" s="142"/>
      <c r="C98" s="526">
        <v>0</v>
      </c>
      <c r="D98" s="531">
        <v>0</v>
      </c>
      <c r="E98" s="329">
        <v>0</v>
      </c>
      <c r="F98" s="329">
        <v>0</v>
      </c>
      <c r="G98" s="329">
        <v>0</v>
      </c>
      <c r="H98" s="329">
        <f t="shared" si="24"/>
        <v>0</v>
      </c>
      <c r="I98" s="41">
        <f t="shared" si="1"/>
        <v>0</v>
      </c>
      <c r="J98" s="826" t="str">
        <f t="shared" si="2"/>
        <v/>
      </c>
      <c r="K98" s="517">
        <f t="shared" si="25"/>
        <v>0</v>
      </c>
    </row>
    <row r="99" spans="1:11" ht="12.75" customHeight="1" x14ac:dyDescent="0.25">
      <c r="A99" s="828" t="s">
        <v>1319</v>
      </c>
      <c r="B99" s="142"/>
      <c r="C99" s="111">
        <f t="shared" ref="C99:H99" si="26">SUM(C100:C102)</f>
        <v>1852148.7</v>
      </c>
      <c r="D99" s="43">
        <f t="shared" si="26"/>
        <v>2227019.6470538834</v>
      </c>
      <c r="E99" s="41">
        <f t="shared" si="26"/>
        <v>1829667</v>
      </c>
      <c r="F99" s="41">
        <f t="shared" si="26"/>
        <v>275175.33999999997</v>
      </c>
      <c r="G99" s="41">
        <f t="shared" si="26"/>
        <v>1499278.5900000005</v>
      </c>
      <c r="H99" s="41">
        <f t="shared" si="26"/>
        <v>1829667</v>
      </c>
      <c r="I99" s="221">
        <f t="shared" si="1"/>
        <v>330388.40999999945</v>
      </c>
      <c r="J99" s="829">
        <f t="shared" si="2"/>
        <v>0.1805729731147796</v>
      </c>
      <c r="K99" s="119">
        <f>SUM(K100:K102)</f>
        <v>1829667</v>
      </c>
    </row>
    <row r="100" spans="1:11" ht="12.75" customHeight="1" x14ac:dyDescent="0.25">
      <c r="A100" s="694" t="s">
        <v>1320</v>
      </c>
      <c r="B100" s="142"/>
      <c r="C100" s="526">
        <v>0</v>
      </c>
      <c r="D100" s="531">
        <v>859554.40974703268</v>
      </c>
      <c r="E100" s="329">
        <v>729912</v>
      </c>
      <c r="F100" s="329">
        <v>0</v>
      </c>
      <c r="G100" s="329">
        <v>0</v>
      </c>
      <c r="H100" s="329">
        <f>E100/12*$L$1</f>
        <v>729912</v>
      </c>
      <c r="I100" s="41">
        <f t="shared" si="1"/>
        <v>729912</v>
      </c>
      <c r="J100" s="826">
        <f t="shared" si="2"/>
        <v>1</v>
      </c>
      <c r="K100" s="517">
        <f>E100</f>
        <v>729912</v>
      </c>
    </row>
    <row r="101" spans="1:11" ht="12.75" customHeight="1" x14ac:dyDescent="0.25">
      <c r="A101" s="694" t="s">
        <v>1321</v>
      </c>
      <c r="B101" s="142"/>
      <c r="C101" s="526">
        <v>1852148.7</v>
      </c>
      <c r="D101" s="531">
        <v>1367465.237306851</v>
      </c>
      <c r="E101" s="329">
        <v>1099755</v>
      </c>
      <c r="F101" s="329">
        <v>275175.33999999997</v>
      </c>
      <c r="G101" s="329">
        <v>1499278.5900000005</v>
      </c>
      <c r="H101" s="329">
        <f>E101/12*$L$1</f>
        <v>1099755</v>
      </c>
      <c r="I101" s="41">
        <f>H101-G101</f>
        <v>-399523.59000000055</v>
      </c>
      <c r="J101" s="826">
        <f>IF(I101=0,"",I101/H101)</f>
        <v>-0.36328417693031678</v>
      </c>
      <c r="K101" s="517">
        <f>E101</f>
        <v>1099755</v>
      </c>
    </row>
    <row r="102" spans="1:11" ht="12.75" customHeight="1" x14ac:dyDescent="0.25">
      <c r="A102" s="694" t="s">
        <v>1253</v>
      </c>
      <c r="B102" s="142"/>
      <c r="C102" s="526">
        <v>0</v>
      </c>
      <c r="D102" s="531">
        <v>0</v>
      </c>
      <c r="E102" s="329">
        <v>0</v>
      </c>
      <c r="F102" s="329">
        <v>0</v>
      </c>
      <c r="G102" s="329">
        <v>0</v>
      </c>
      <c r="H102" s="329">
        <f>E102/12*$L$1</f>
        <v>0</v>
      </c>
      <c r="I102" s="41">
        <f t="shared" si="1"/>
        <v>0</v>
      </c>
      <c r="J102" s="826" t="str">
        <f t="shared" si="2"/>
        <v/>
      </c>
      <c r="K102" s="517">
        <f>E102</f>
        <v>0</v>
      </c>
    </row>
    <row r="103" spans="1:11" ht="5.0999999999999996" customHeight="1" x14ac:dyDescent="0.25">
      <c r="A103" s="39"/>
      <c r="B103" s="142"/>
      <c r="C103" s="111"/>
      <c r="D103" s="221"/>
      <c r="E103" s="41"/>
      <c r="F103" s="41"/>
      <c r="G103" s="41"/>
      <c r="H103" s="41"/>
      <c r="I103" s="41"/>
      <c r="J103" s="826"/>
      <c r="K103" s="119"/>
    </row>
    <row r="104" spans="1:11" ht="12.75" customHeight="1" x14ac:dyDescent="0.25">
      <c r="A104" s="32" t="s">
        <v>681</v>
      </c>
      <c r="B104" s="142"/>
      <c r="C104" s="212">
        <f t="shared" ref="C104:H104" si="27">SUM(C105:C109)</f>
        <v>0</v>
      </c>
      <c r="D104" s="831">
        <f t="shared" si="27"/>
        <v>0</v>
      </c>
      <c r="E104" s="85">
        <f t="shared" si="27"/>
        <v>0</v>
      </c>
      <c r="F104" s="85">
        <f t="shared" si="27"/>
        <v>0</v>
      </c>
      <c r="G104" s="85">
        <f t="shared" si="27"/>
        <v>0</v>
      </c>
      <c r="H104" s="85">
        <f t="shared" si="27"/>
        <v>0</v>
      </c>
      <c r="I104" s="85">
        <f t="shared" si="1"/>
        <v>0</v>
      </c>
      <c r="J104" s="832" t="str">
        <f t="shared" si="2"/>
        <v/>
      </c>
      <c r="K104" s="160">
        <f>SUM(K105:K109)</f>
        <v>0</v>
      </c>
    </row>
    <row r="105" spans="1:11" ht="12.75" customHeight="1" x14ac:dyDescent="0.25">
      <c r="A105" s="828" t="s">
        <v>1323</v>
      </c>
      <c r="B105" s="142"/>
      <c r="C105" s="548">
        <v>0</v>
      </c>
      <c r="D105" s="531">
        <v>0</v>
      </c>
      <c r="E105" s="329">
        <v>0</v>
      </c>
      <c r="F105" s="329">
        <v>0</v>
      </c>
      <c r="G105" s="329">
        <v>0</v>
      </c>
      <c r="H105" s="329">
        <f>E105/12*$L$1</f>
        <v>0</v>
      </c>
      <c r="I105" s="41">
        <f t="shared" si="1"/>
        <v>0</v>
      </c>
      <c r="J105" s="826" t="str">
        <f t="shared" si="2"/>
        <v/>
      </c>
      <c r="K105" s="517">
        <f>E105</f>
        <v>0</v>
      </c>
    </row>
    <row r="106" spans="1:11" ht="12.75" customHeight="1" x14ac:dyDescent="0.25">
      <c r="A106" s="828" t="s">
        <v>1324</v>
      </c>
      <c r="B106" s="142"/>
      <c r="C106" s="548">
        <v>0</v>
      </c>
      <c r="D106" s="531">
        <v>0</v>
      </c>
      <c r="E106" s="329">
        <v>0</v>
      </c>
      <c r="F106" s="329">
        <v>0</v>
      </c>
      <c r="G106" s="329">
        <v>0</v>
      </c>
      <c r="H106" s="329">
        <f>E106/12*$L$1</f>
        <v>0</v>
      </c>
      <c r="I106" s="41">
        <f t="shared" si="1"/>
        <v>0</v>
      </c>
      <c r="J106" s="826" t="str">
        <f t="shared" si="2"/>
        <v/>
      </c>
      <c r="K106" s="517">
        <f>E106</f>
        <v>0</v>
      </c>
    </row>
    <row r="107" spans="1:11" ht="12.75" customHeight="1" x14ac:dyDescent="0.25">
      <c r="A107" s="828" t="s">
        <v>1325</v>
      </c>
      <c r="B107" s="142"/>
      <c r="C107" s="548">
        <v>0</v>
      </c>
      <c r="D107" s="531">
        <v>0</v>
      </c>
      <c r="E107" s="329">
        <v>0</v>
      </c>
      <c r="F107" s="329">
        <v>0</v>
      </c>
      <c r="G107" s="329">
        <v>0</v>
      </c>
      <c r="H107" s="329">
        <f>E107/12*$L$1</f>
        <v>0</v>
      </c>
      <c r="I107" s="41">
        <f t="shared" si="1"/>
        <v>0</v>
      </c>
      <c r="J107" s="826" t="str">
        <f t="shared" si="2"/>
        <v/>
      </c>
      <c r="K107" s="517">
        <f>E107</f>
        <v>0</v>
      </c>
    </row>
    <row r="108" spans="1:11" ht="12.75" customHeight="1" x14ac:dyDescent="0.25">
      <c r="A108" s="828" t="s">
        <v>1326</v>
      </c>
      <c r="B108" s="142"/>
      <c r="C108" s="548">
        <v>0</v>
      </c>
      <c r="D108" s="531">
        <v>0</v>
      </c>
      <c r="E108" s="329">
        <v>0</v>
      </c>
      <c r="F108" s="329">
        <v>0</v>
      </c>
      <c r="G108" s="329">
        <v>0</v>
      </c>
      <c r="H108" s="329">
        <f>E108/12*$L$1</f>
        <v>0</v>
      </c>
      <c r="I108" s="41">
        <f t="shared" si="1"/>
        <v>0</v>
      </c>
      <c r="J108" s="826" t="str">
        <f t="shared" si="2"/>
        <v/>
      </c>
      <c r="K108" s="517">
        <f>E108</f>
        <v>0</v>
      </c>
    </row>
    <row r="109" spans="1:11" ht="12.75" customHeight="1" x14ac:dyDescent="0.25">
      <c r="A109" s="828" t="s">
        <v>1327</v>
      </c>
      <c r="B109" s="142"/>
      <c r="C109" s="548">
        <v>0</v>
      </c>
      <c r="D109" s="531">
        <v>0</v>
      </c>
      <c r="E109" s="329">
        <v>0</v>
      </c>
      <c r="F109" s="329">
        <v>0</v>
      </c>
      <c r="G109" s="329">
        <v>0</v>
      </c>
      <c r="H109" s="329">
        <f>E109/12*$L$1</f>
        <v>0</v>
      </c>
      <c r="I109" s="41">
        <f t="shared" si="1"/>
        <v>0</v>
      </c>
      <c r="J109" s="826" t="str">
        <f t="shared" si="2"/>
        <v/>
      </c>
      <c r="K109" s="517">
        <f>E109</f>
        <v>0</v>
      </c>
    </row>
    <row r="110" spans="1:11" ht="5.0999999999999996" customHeight="1" x14ac:dyDescent="0.25">
      <c r="A110" s="39"/>
      <c r="B110" s="142"/>
      <c r="C110" s="111"/>
      <c r="D110" s="221"/>
      <c r="E110" s="41"/>
      <c r="F110" s="41"/>
      <c r="G110" s="41"/>
      <c r="H110" s="41"/>
      <c r="I110" s="41">
        <f t="shared" si="1"/>
        <v>0</v>
      </c>
      <c r="J110" s="826" t="str">
        <f t="shared" si="2"/>
        <v/>
      </c>
      <c r="K110" s="119"/>
    </row>
    <row r="111" spans="1:11" ht="12.75" customHeight="1" x14ac:dyDescent="0.25">
      <c r="A111" s="32" t="s">
        <v>682</v>
      </c>
      <c r="B111" s="35"/>
      <c r="C111" s="472">
        <f t="shared" ref="C111:H111" si="28">+C112+C115</f>
        <v>0</v>
      </c>
      <c r="D111" s="830">
        <f t="shared" si="28"/>
        <v>0</v>
      </c>
      <c r="E111" s="474">
        <f t="shared" si="28"/>
        <v>0</v>
      </c>
      <c r="F111" s="474">
        <f t="shared" si="28"/>
        <v>0</v>
      </c>
      <c r="G111" s="474">
        <f t="shared" si="28"/>
        <v>0</v>
      </c>
      <c r="H111" s="474">
        <f t="shared" si="28"/>
        <v>0</v>
      </c>
      <c r="I111" s="85">
        <f t="shared" si="1"/>
        <v>0</v>
      </c>
      <c r="J111" s="832" t="str">
        <f t="shared" si="2"/>
        <v/>
      </c>
      <c r="K111" s="476">
        <f>+K112+K115</f>
        <v>0</v>
      </c>
    </row>
    <row r="112" spans="1:11" ht="12.75" customHeight="1" x14ac:dyDescent="0.25">
      <c r="A112" s="828" t="s">
        <v>1328</v>
      </c>
      <c r="B112" s="142"/>
      <c r="C112" s="111">
        <f t="shared" ref="C112:H112" si="29">SUM(C113:C114)</f>
        <v>0</v>
      </c>
      <c r="D112" s="43">
        <f t="shared" si="29"/>
        <v>0</v>
      </c>
      <c r="E112" s="41">
        <f t="shared" si="29"/>
        <v>0</v>
      </c>
      <c r="F112" s="41">
        <f t="shared" si="29"/>
        <v>0</v>
      </c>
      <c r="G112" s="41">
        <f t="shared" si="29"/>
        <v>0</v>
      </c>
      <c r="H112" s="41">
        <f t="shared" si="29"/>
        <v>0</v>
      </c>
      <c r="I112" s="221">
        <f t="shared" si="1"/>
        <v>0</v>
      </c>
      <c r="J112" s="829" t="str">
        <f t="shared" si="2"/>
        <v/>
      </c>
      <c r="K112" s="119">
        <f>SUM(K113:K114)</f>
        <v>0</v>
      </c>
    </row>
    <row r="113" spans="1:11" ht="12.75" customHeight="1" x14ac:dyDescent="0.25">
      <c r="A113" s="694" t="s">
        <v>1329</v>
      </c>
      <c r="B113" s="142"/>
      <c r="C113" s="526">
        <v>0</v>
      </c>
      <c r="D113" s="531">
        <v>0</v>
      </c>
      <c r="E113" s="329">
        <v>0</v>
      </c>
      <c r="F113" s="329">
        <v>0</v>
      </c>
      <c r="G113" s="329">
        <v>0</v>
      </c>
      <c r="H113" s="329">
        <f>E113/12*$L$1</f>
        <v>0</v>
      </c>
      <c r="I113" s="41">
        <f t="shared" si="1"/>
        <v>0</v>
      </c>
      <c r="J113" s="826" t="str">
        <f t="shared" si="2"/>
        <v/>
      </c>
      <c r="K113" s="517">
        <f>E113</f>
        <v>0</v>
      </c>
    </row>
    <row r="114" spans="1:11" ht="12.75" customHeight="1" x14ac:dyDescent="0.25">
      <c r="A114" s="694" t="s">
        <v>1330</v>
      </c>
      <c r="B114" s="142"/>
      <c r="C114" s="526">
        <v>0</v>
      </c>
      <c r="D114" s="531">
        <v>0</v>
      </c>
      <c r="E114" s="329">
        <v>0</v>
      </c>
      <c r="F114" s="329">
        <v>0</v>
      </c>
      <c r="G114" s="329">
        <v>0</v>
      </c>
      <c r="H114" s="329">
        <f>E114/12*$L$1</f>
        <v>0</v>
      </c>
      <c r="I114" s="41">
        <f t="shared" si="1"/>
        <v>0</v>
      </c>
      <c r="J114" s="826" t="str">
        <f t="shared" si="2"/>
        <v/>
      </c>
      <c r="K114" s="517">
        <f>E114</f>
        <v>0</v>
      </c>
    </row>
    <row r="115" spans="1:11" ht="12.75" customHeight="1" x14ac:dyDescent="0.25">
      <c r="A115" s="828" t="s">
        <v>1331</v>
      </c>
      <c r="B115" s="142"/>
      <c r="C115" s="111">
        <f t="shared" ref="C115:H115" si="30">SUM(C116:C117)</f>
        <v>0</v>
      </c>
      <c r="D115" s="43">
        <f t="shared" si="30"/>
        <v>0</v>
      </c>
      <c r="E115" s="41">
        <f t="shared" si="30"/>
        <v>0</v>
      </c>
      <c r="F115" s="41">
        <f t="shared" si="30"/>
        <v>0</v>
      </c>
      <c r="G115" s="41">
        <f t="shared" si="30"/>
        <v>0</v>
      </c>
      <c r="H115" s="41">
        <f t="shared" si="30"/>
        <v>0</v>
      </c>
      <c r="I115" s="221">
        <f t="shared" si="1"/>
        <v>0</v>
      </c>
      <c r="J115" s="829" t="str">
        <f t="shared" si="2"/>
        <v/>
      </c>
      <c r="K115" s="119">
        <f>SUM(K116:K117)</f>
        <v>0</v>
      </c>
    </row>
    <row r="116" spans="1:11" ht="12.75" customHeight="1" x14ac:dyDescent="0.25">
      <c r="A116" s="694" t="s">
        <v>1329</v>
      </c>
      <c r="B116" s="142"/>
      <c r="C116" s="526">
        <v>0</v>
      </c>
      <c r="D116" s="531">
        <v>0</v>
      </c>
      <c r="E116" s="329">
        <v>0</v>
      </c>
      <c r="F116" s="329">
        <v>0</v>
      </c>
      <c r="G116" s="329">
        <v>0</v>
      </c>
      <c r="H116" s="329">
        <f>E116/12*$L$1</f>
        <v>0</v>
      </c>
      <c r="I116" s="41">
        <f t="shared" si="1"/>
        <v>0</v>
      </c>
      <c r="J116" s="826" t="str">
        <f t="shared" si="2"/>
        <v/>
      </c>
      <c r="K116" s="517">
        <f>E116</f>
        <v>0</v>
      </c>
    </row>
    <row r="117" spans="1:11" ht="12.75" customHeight="1" x14ac:dyDescent="0.25">
      <c r="A117" s="694" t="s">
        <v>1330</v>
      </c>
      <c r="B117" s="142"/>
      <c r="C117" s="526">
        <v>0</v>
      </c>
      <c r="D117" s="531">
        <v>0</v>
      </c>
      <c r="E117" s="329">
        <v>0</v>
      </c>
      <c r="F117" s="329">
        <v>0</v>
      </c>
      <c r="G117" s="329">
        <v>0</v>
      </c>
      <c r="H117" s="329">
        <f>E117/12*$L$1</f>
        <v>0</v>
      </c>
      <c r="I117" s="41">
        <f>H117-G117</f>
        <v>0</v>
      </c>
      <c r="J117" s="826" t="str">
        <f>IF(I117=0,"",I117/H117)</f>
        <v/>
      </c>
      <c r="K117" s="517">
        <f>E117</f>
        <v>0</v>
      </c>
    </row>
    <row r="118" spans="1:11" ht="5.0999999999999996" customHeight="1" x14ac:dyDescent="0.25">
      <c r="A118" s="39"/>
      <c r="B118" s="142"/>
      <c r="C118" s="111"/>
      <c r="D118" s="221"/>
      <c r="E118" s="41"/>
      <c r="F118" s="41"/>
      <c r="G118" s="41"/>
      <c r="H118" s="41"/>
      <c r="I118" s="41">
        <f>H118-G118</f>
        <v>0</v>
      </c>
      <c r="J118" s="826" t="str">
        <f>IF(I118=0,"",I118/H118)</f>
        <v/>
      </c>
      <c r="K118" s="119"/>
    </row>
    <row r="119" spans="1:11" ht="12.75" customHeight="1" x14ac:dyDescent="0.25">
      <c r="A119" s="32" t="s">
        <v>683</v>
      </c>
      <c r="B119" s="142"/>
      <c r="C119" s="472">
        <f t="shared" ref="C119:H119" si="31">+C120+C132</f>
        <v>7620203.4299999978</v>
      </c>
      <c r="D119" s="830">
        <f t="shared" si="31"/>
        <v>5309029.2097826153</v>
      </c>
      <c r="E119" s="474">
        <f t="shared" si="31"/>
        <v>5444480</v>
      </c>
      <c r="F119" s="474">
        <f t="shared" si="31"/>
        <v>1006294.1300000001</v>
      </c>
      <c r="G119" s="474">
        <f t="shared" si="31"/>
        <v>4086383.15</v>
      </c>
      <c r="H119" s="474">
        <f t="shared" si="31"/>
        <v>5444480</v>
      </c>
      <c r="I119" s="474">
        <f t="shared" si="1"/>
        <v>1358096.85</v>
      </c>
      <c r="J119" s="827">
        <f t="shared" si="2"/>
        <v>0.24944473117726579</v>
      </c>
      <c r="K119" s="476">
        <f>+K120+K132</f>
        <v>5444480</v>
      </c>
    </row>
    <row r="120" spans="1:11" ht="12.75" customHeight="1" x14ac:dyDescent="0.25">
      <c r="A120" s="828" t="s">
        <v>1332</v>
      </c>
      <c r="B120" s="142"/>
      <c r="C120" s="111">
        <f t="shared" ref="C120:H120" si="32">SUM(C121:C131)</f>
        <v>4304714.8499999978</v>
      </c>
      <c r="D120" s="43">
        <f t="shared" si="32"/>
        <v>3302471.0395953958</v>
      </c>
      <c r="E120" s="41">
        <f t="shared" si="32"/>
        <v>4152311</v>
      </c>
      <c r="F120" s="41">
        <f t="shared" si="32"/>
        <v>601098.06000000006</v>
      </c>
      <c r="G120" s="41">
        <f t="shared" si="32"/>
        <v>2190682.61</v>
      </c>
      <c r="H120" s="41">
        <f t="shared" si="32"/>
        <v>4152311</v>
      </c>
      <c r="I120" s="221">
        <f t="shared" si="1"/>
        <v>1961628.3900000001</v>
      </c>
      <c r="J120" s="829">
        <f t="shared" si="2"/>
        <v>0.47241846528354936</v>
      </c>
      <c r="K120" s="119">
        <f>SUM(K121:K131)</f>
        <v>4152311</v>
      </c>
    </row>
    <row r="121" spans="1:11" ht="12.75" customHeight="1" x14ac:dyDescent="0.25">
      <c r="A121" s="694" t="s">
        <v>1333</v>
      </c>
      <c r="B121" s="142"/>
      <c r="C121" s="526">
        <v>3990667.8499999978</v>
      </c>
      <c r="D121" s="531">
        <v>3115457.7063345457</v>
      </c>
      <c r="E121" s="329">
        <v>4024278</v>
      </c>
      <c r="F121" s="329">
        <v>600750.2300000001</v>
      </c>
      <c r="G121" s="329">
        <v>2189182.23</v>
      </c>
      <c r="H121" s="329">
        <f t="shared" ref="H121:H131" si="33">E121/12*$L$1</f>
        <v>4024278</v>
      </c>
      <c r="I121" s="41">
        <f t="shared" si="1"/>
        <v>1835095.77</v>
      </c>
      <c r="J121" s="826">
        <f t="shared" si="2"/>
        <v>0.45600621279146225</v>
      </c>
      <c r="K121" s="517">
        <f t="shared" ref="K121:K131" si="34">E121</f>
        <v>4024278</v>
      </c>
    </row>
    <row r="122" spans="1:11" ht="12.75" customHeight="1" x14ac:dyDescent="0.25">
      <c r="A122" s="694" t="s">
        <v>1334</v>
      </c>
      <c r="B122" s="142"/>
      <c r="C122" s="526">
        <v>0</v>
      </c>
      <c r="D122" s="531">
        <v>0</v>
      </c>
      <c r="E122" s="329">
        <v>0</v>
      </c>
      <c r="F122" s="329">
        <v>0</v>
      </c>
      <c r="G122" s="329">
        <v>0</v>
      </c>
      <c r="H122" s="329">
        <f t="shared" si="33"/>
        <v>0</v>
      </c>
      <c r="I122" s="41">
        <f t="shared" si="1"/>
        <v>0</v>
      </c>
      <c r="J122" s="826" t="str">
        <f t="shared" si="2"/>
        <v/>
      </c>
      <c r="K122" s="517">
        <f t="shared" si="34"/>
        <v>0</v>
      </c>
    </row>
    <row r="123" spans="1:11" ht="12.75" customHeight="1" x14ac:dyDescent="0.25">
      <c r="A123" s="694" t="s">
        <v>1335</v>
      </c>
      <c r="B123" s="142"/>
      <c r="C123" s="526">
        <v>0</v>
      </c>
      <c r="D123" s="531">
        <v>0</v>
      </c>
      <c r="E123" s="329">
        <v>0</v>
      </c>
      <c r="F123" s="329">
        <v>0</v>
      </c>
      <c r="G123" s="329">
        <v>0</v>
      </c>
      <c r="H123" s="329">
        <f t="shared" si="33"/>
        <v>0</v>
      </c>
      <c r="I123" s="41">
        <f t="shared" si="1"/>
        <v>0</v>
      </c>
      <c r="J123" s="826" t="str">
        <f t="shared" si="2"/>
        <v/>
      </c>
      <c r="K123" s="517">
        <f t="shared" si="34"/>
        <v>0</v>
      </c>
    </row>
    <row r="124" spans="1:11" ht="12.75" customHeight="1" x14ac:dyDescent="0.25">
      <c r="A124" s="694" t="s">
        <v>1336</v>
      </c>
      <c r="B124" s="142"/>
      <c r="C124" s="526">
        <v>0</v>
      </c>
      <c r="D124" s="531">
        <v>69233.661877066712</v>
      </c>
      <c r="E124" s="329">
        <v>29596</v>
      </c>
      <c r="F124" s="329">
        <v>0</v>
      </c>
      <c r="G124" s="329">
        <v>0</v>
      </c>
      <c r="H124" s="329">
        <f t="shared" si="33"/>
        <v>29596</v>
      </c>
      <c r="I124" s="41">
        <f t="shared" si="1"/>
        <v>29596</v>
      </c>
      <c r="J124" s="826">
        <f t="shared" si="2"/>
        <v>1</v>
      </c>
      <c r="K124" s="517">
        <f t="shared" si="34"/>
        <v>29596</v>
      </c>
    </row>
    <row r="125" spans="1:11" ht="12.75" customHeight="1" x14ac:dyDescent="0.25">
      <c r="A125" s="694" t="s">
        <v>1337</v>
      </c>
      <c r="B125" s="142"/>
      <c r="C125" s="526">
        <v>0</v>
      </c>
      <c r="D125" s="531">
        <v>0</v>
      </c>
      <c r="E125" s="329">
        <v>0</v>
      </c>
      <c r="F125" s="329">
        <v>0</v>
      </c>
      <c r="G125" s="329">
        <v>0</v>
      </c>
      <c r="H125" s="329">
        <f t="shared" si="33"/>
        <v>0</v>
      </c>
      <c r="I125" s="41">
        <f t="shared" si="1"/>
        <v>0</v>
      </c>
      <c r="J125" s="826" t="str">
        <f t="shared" si="2"/>
        <v/>
      </c>
      <c r="K125" s="517">
        <f t="shared" si="34"/>
        <v>0</v>
      </c>
    </row>
    <row r="126" spans="1:11" ht="12.75" customHeight="1" x14ac:dyDescent="0.25">
      <c r="A126" s="694" t="s">
        <v>1338</v>
      </c>
      <c r="B126" s="142"/>
      <c r="C126" s="526">
        <v>314047</v>
      </c>
      <c r="D126" s="531">
        <v>117779.67138378303</v>
      </c>
      <c r="E126" s="329">
        <v>98437</v>
      </c>
      <c r="F126" s="329">
        <v>347.83</v>
      </c>
      <c r="G126" s="329">
        <v>1500.3799999999999</v>
      </c>
      <c r="H126" s="329">
        <f t="shared" si="33"/>
        <v>98437</v>
      </c>
      <c r="I126" s="41">
        <f t="shared" si="1"/>
        <v>96936.62</v>
      </c>
      <c r="J126" s="826">
        <f t="shared" si="2"/>
        <v>0.98475796702459439</v>
      </c>
      <c r="K126" s="517">
        <f t="shared" si="34"/>
        <v>98437</v>
      </c>
    </row>
    <row r="127" spans="1:11" ht="12.75" customHeight="1" x14ac:dyDescent="0.25">
      <c r="A127" s="694" t="s">
        <v>1339</v>
      </c>
      <c r="B127" s="142"/>
      <c r="C127" s="526">
        <v>0</v>
      </c>
      <c r="D127" s="531">
        <v>0</v>
      </c>
      <c r="E127" s="329">
        <v>0</v>
      </c>
      <c r="F127" s="329">
        <v>0</v>
      </c>
      <c r="G127" s="329">
        <v>0</v>
      </c>
      <c r="H127" s="329">
        <f t="shared" si="33"/>
        <v>0</v>
      </c>
      <c r="I127" s="41">
        <f t="shared" si="1"/>
        <v>0</v>
      </c>
      <c r="J127" s="826" t="str">
        <f t="shared" si="2"/>
        <v/>
      </c>
      <c r="K127" s="517">
        <f t="shared" si="34"/>
        <v>0</v>
      </c>
    </row>
    <row r="128" spans="1:11" ht="12.75" customHeight="1" x14ac:dyDescent="0.25">
      <c r="A128" s="694" t="s">
        <v>1340</v>
      </c>
      <c r="B128" s="142"/>
      <c r="C128" s="526">
        <v>0</v>
      </c>
      <c r="D128" s="531">
        <v>0</v>
      </c>
      <c r="E128" s="329">
        <v>0</v>
      </c>
      <c r="F128" s="329">
        <v>0</v>
      </c>
      <c r="G128" s="329">
        <v>0</v>
      </c>
      <c r="H128" s="329">
        <f t="shared" si="33"/>
        <v>0</v>
      </c>
      <c r="I128" s="41">
        <f t="shared" si="1"/>
        <v>0</v>
      </c>
      <c r="J128" s="826" t="str">
        <f t="shared" si="2"/>
        <v/>
      </c>
      <c r="K128" s="517">
        <f t="shared" si="34"/>
        <v>0</v>
      </c>
    </row>
    <row r="129" spans="1:11" ht="12.75" customHeight="1" x14ac:dyDescent="0.25">
      <c r="A129" s="694" t="s">
        <v>1341</v>
      </c>
      <c r="B129" s="142"/>
      <c r="C129" s="526">
        <v>0</v>
      </c>
      <c r="D129" s="531">
        <v>0</v>
      </c>
      <c r="E129" s="329">
        <v>0</v>
      </c>
      <c r="F129" s="329">
        <v>0</v>
      </c>
      <c r="G129" s="329">
        <v>0</v>
      </c>
      <c r="H129" s="329">
        <f t="shared" si="33"/>
        <v>0</v>
      </c>
      <c r="I129" s="41">
        <f t="shared" si="1"/>
        <v>0</v>
      </c>
      <c r="J129" s="826" t="str">
        <f t="shared" si="2"/>
        <v/>
      </c>
      <c r="K129" s="517">
        <f t="shared" si="34"/>
        <v>0</v>
      </c>
    </row>
    <row r="130" spans="1:11" ht="12.75" customHeight="1" x14ac:dyDescent="0.25">
      <c r="A130" s="694" t="s">
        <v>1342</v>
      </c>
      <c r="B130" s="142"/>
      <c r="C130" s="526">
        <v>0</v>
      </c>
      <c r="D130" s="531">
        <v>0</v>
      </c>
      <c r="E130" s="329">
        <v>0</v>
      </c>
      <c r="F130" s="329">
        <v>0</v>
      </c>
      <c r="G130" s="329">
        <v>0</v>
      </c>
      <c r="H130" s="329">
        <f t="shared" si="33"/>
        <v>0</v>
      </c>
      <c r="I130" s="41">
        <f t="shared" si="1"/>
        <v>0</v>
      </c>
      <c r="J130" s="826" t="str">
        <f t="shared" si="2"/>
        <v/>
      </c>
      <c r="K130" s="517">
        <f t="shared" si="34"/>
        <v>0</v>
      </c>
    </row>
    <row r="131" spans="1:11" ht="12.75" customHeight="1" x14ac:dyDescent="0.25">
      <c r="A131" s="694" t="s">
        <v>1253</v>
      </c>
      <c r="B131" s="142"/>
      <c r="C131" s="526">
        <v>0</v>
      </c>
      <c r="D131" s="531">
        <v>0</v>
      </c>
      <c r="E131" s="329">
        <v>0</v>
      </c>
      <c r="F131" s="329">
        <v>0</v>
      </c>
      <c r="G131" s="329">
        <v>0</v>
      </c>
      <c r="H131" s="329">
        <f t="shared" si="33"/>
        <v>0</v>
      </c>
      <c r="I131" s="41">
        <f t="shared" si="1"/>
        <v>0</v>
      </c>
      <c r="J131" s="826" t="str">
        <f t="shared" si="2"/>
        <v/>
      </c>
      <c r="K131" s="517">
        <f t="shared" si="34"/>
        <v>0</v>
      </c>
    </row>
    <row r="132" spans="1:11" ht="12.75" customHeight="1" x14ac:dyDescent="0.25">
      <c r="A132" s="828" t="s">
        <v>724</v>
      </c>
      <c r="B132" s="142"/>
      <c r="C132" s="111">
        <f t="shared" ref="C132:H132" si="35">SUM(C133:C135)</f>
        <v>3315488.58</v>
      </c>
      <c r="D132" s="43">
        <f t="shared" si="35"/>
        <v>2006558.17018722</v>
      </c>
      <c r="E132" s="41">
        <f t="shared" si="35"/>
        <v>1292169</v>
      </c>
      <c r="F132" s="41">
        <f t="shared" si="35"/>
        <v>405196.07</v>
      </c>
      <c r="G132" s="41">
        <f t="shared" si="35"/>
        <v>1895700.54</v>
      </c>
      <c r="H132" s="41">
        <f t="shared" si="35"/>
        <v>1292169</v>
      </c>
      <c r="I132" s="221">
        <f t="shared" si="1"/>
        <v>-603531.54</v>
      </c>
      <c r="J132" s="829">
        <f t="shared" si="2"/>
        <v>-0.46706858003867918</v>
      </c>
      <c r="K132" s="119">
        <f>SUM(K133:K135)</f>
        <v>1292169</v>
      </c>
    </row>
    <row r="133" spans="1:11" ht="12.75" customHeight="1" x14ac:dyDescent="0.25">
      <c r="A133" s="694" t="s">
        <v>1343</v>
      </c>
      <c r="B133" s="142"/>
      <c r="C133" s="526">
        <v>0</v>
      </c>
      <c r="D133" s="531">
        <v>0</v>
      </c>
      <c r="E133" s="329">
        <v>0</v>
      </c>
      <c r="F133" s="329">
        <v>0</v>
      </c>
      <c r="G133" s="329">
        <v>0</v>
      </c>
      <c r="H133" s="329">
        <f>E133/12*$L$1</f>
        <v>0</v>
      </c>
      <c r="I133" s="41">
        <f t="shared" si="1"/>
        <v>0</v>
      </c>
      <c r="J133" s="826" t="str">
        <f t="shared" si="2"/>
        <v/>
      </c>
      <c r="K133" s="517">
        <f>E133</f>
        <v>0</v>
      </c>
    </row>
    <row r="134" spans="1:11" ht="12.75" customHeight="1" x14ac:dyDescent="0.25">
      <c r="A134" s="694" t="s">
        <v>1344</v>
      </c>
      <c r="B134" s="142"/>
      <c r="C134" s="526">
        <v>3315488.58</v>
      </c>
      <c r="D134" s="531">
        <v>2006558.17018722</v>
      </c>
      <c r="E134" s="329">
        <v>1292169</v>
      </c>
      <c r="F134" s="329">
        <v>405196.07</v>
      </c>
      <c r="G134" s="329">
        <v>1895700.54</v>
      </c>
      <c r="H134" s="329">
        <f>E134/12*$L$1</f>
        <v>1292169</v>
      </c>
      <c r="I134" s="41">
        <f t="shared" si="1"/>
        <v>-603531.54</v>
      </c>
      <c r="J134" s="826">
        <f t="shared" si="2"/>
        <v>-0.46706858003867918</v>
      </c>
      <c r="K134" s="517">
        <f>E134</f>
        <v>1292169</v>
      </c>
    </row>
    <row r="135" spans="1:11" ht="12.75" customHeight="1" x14ac:dyDescent="0.25">
      <c r="A135" s="694" t="s">
        <v>1253</v>
      </c>
      <c r="B135" s="142"/>
      <c r="C135" s="526">
        <v>0</v>
      </c>
      <c r="D135" s="531">
        <v>0</v>
      </c>
      <c r="E135" s="329">
        <v>0</v>
      </c>
      <c r="F135" s="329">
        <v>0</v>
      </c>
      <c r="G135" s="329">
        <v>0</v>
      </c>
      <c r="H135" s="329">
        <f>E135/12*$L$1</f>
        <v>0</v>
      </c>
      <c r="I135" s="41">
        <f t="shared" si="1"/>
        <v>0</v>
      </c>
      <c r="J135" s="826" t="str">
        <f t="shared" si="2"/>
        <v/>
      </c>
      <c r="K135" s="517">
        <f>E135</f>
        <v>0</v>
      </c>
    </row>
    <row r="136" spans="1:11" ht="5.0999999999999996" customHeight="1" x14ac:dyDescent="0.25">
      <c r="A136" s="828"/>
      <c r="B136" s="142"/>
      <c r="C136" s="111"/>
      <c r="D136" s="221"/>
      <c r="E136" s="41"/>
      <c r="F136" s="41"/>
      <c r="G136" s="41"/>
      <c r="H136" s="41"/>
      <c r="I136" s="41"/>
      <c r="J136" s="826" t="str">
        <f t="shared" si="2"/>
        <v/>
      </c>
      <c r="K136" s="119"/>
    </row>
    <row r="137" spans="1:11" ht="12.75" customHeight="1" x14ac:dyDescent="0.25">
      <c r="A137" s="32" t="s">
        <v>1345</v>
      </c>
      <c r="B137" s="142"/>
      <c r="C137" s="472">
        <f t="shared" ref="C137:H137" si="36">SUM(C138:C138)</f>
        <v>0</v>
      </c>
      <c r="D137" s="830">
        <f t="shared" si="36"/>
        <v>0</v>
      </c>
      <c r="E137" s="474">
        <f t="shared" si="36"/>
        <v>0</v>
      </c>
      <c r="F137" s="474">
        <f t="shared" si="36"/>
        <v>0</v>
      </c>
      <c r="G137" s="474">
        <f t="shared" si="36"/>
        <v>0</v>
      </c>
      <c r="H137" s="474">
        <f t="shared" si="36"/>
        <v>0</v>
      </c>
      <c r="I137" s="474">
        <f>H137-G137</f>
        <v>0</v>
      </c>
      <c r="J137" s="832" t="str">
        <f t="shared" si="2"/>
        <v/>
      </c>
      <c r="K137" s="476">
        <f>SUM(K138)</f>
        <v>0</v>
      </c>
    </row>
    <row r="138" spans="1:11" ht="12.75" customHeight="1" x14ac:dyDescent="0.25">
      <c r="A138" s="828" t="s">
        <v>1345</v>
      </c>
      <c r="B138" s="142"/>
      <c r="C138" s="526">
        <v>0</v>
      </c>
      <c r="D138" s="531">
        <v>0</v>
      </c>
      <c r="E138" s="329">
        <v>0</v>
      </c>
      <c r="F138" s="329">
        <v>0</v>
      </c>
      <c r="G138" s="329">
        <v>0</v>
      </c>
      <c r="H138" s="329">
        <f>E138/12*$L$1</f>
        <v>0</v>
      </c>
      <c r="I138" s="41">
        <f>H138-G138</f>
        <v>0</v>
      </c>
      <c r="J138" s="826" t="str">
        <f t="shared" si="2"/>
        <v/>
      </c>
      <c r="K138" s="517">
        <f>E138</f>
        <v>0</v>
      </c>
    </row>
    <row r="139" spans="1:11" ht="5.0999999999999996" customHeight="1" x14ac:dyDescent="0.25">
      <c r="A139" s="39"/>
      <c r="B139" s="142"/>
      <c r="C139" s="111"/>
      <c r="D139" s="221"/>
      <c r="E139" s="41"/>
      <c r="F139" s="41"/>
      <c r="G139" s="41"/>
      <c r="H139" s="41"/>
      <c r="I139" s="41"/>
      <c r="J139" s="826" t="str">
        <f t="shared" ref="J139:J148" si="37">IF(I139=0,"",I139/H139)</f>
        <v/>
      </c>
      <c r="K139" s="119"/>
    </row>
    <row r="140" spans="1:11" ht="12.75" customHeight="1" x14ac:dyDescent="0.25">
      <c r="A140" s="32" t="s">
        <v>1346</v>
      </c>
      <c r="B140" s="142"/>
      <c r="C140" s="472">
        <f t="shared" ref="C140:H140" si="38">SUM(C141:C142)</f>
        <v>0</v>
      </c>
      <c r="D140" s="830">
        <f>+D141+D142</f>
        <v>0</v>
      </c>
      <c r="E140" s="474">
        <f>+E141+E142</f>
        <v>0</v>
      </c>
      <c r="F140" s="474">
        <f t="shared" si="38"/>
        <v>0</v>
      </c>
      <c r="G140" s="474">
        <f t="shared" si="38"/>
        <v>0</v>
      </c>
      <c r="H140" s="474">
        <f t="shared" si="38"/>
        <v>0</v>
      </c>
      <c r="I140" s="474">
        <f t="shared" ref="I140:I148" si="39">H140-G140</f>
        <v>0</v>
      </c>
      <c r="J140" s="832" t="str">
        <f t="shared" si="37"/>
        <v/>
      </c>
      <c r="K140" s="476">
        <f>SUM(K141:K142)</f>
        <v>0</v>
      </c>
    </row>
    <row r="141" spans="1:11" ht="12.75" customHeight="1" x14ac:dyDescent="0.25">
      <c r="A141" s="828" t="s">
        <v>1347</v>
      </c>
      <c r="B141" s="142"/>
      <c r="C141" s="526">
        <v>0</v>
      </c>
      <c r="D141" s="531">
        <v>0</v>
      </c>
      <c r="E141" s="329">
        <v>0</v>
      </c>
      <c r="F141" s="329">
        <v>0</v>
      </c>
      <c r="G141" s="329">
        <v>0</v>
      </c>
      <c r="H141" s="329">
        <f>E141/12*$L$1</f>
        <v>0</v>
      </c>
      <c r="I141" s="41">
        <f t="shared" si="39"/>
        <v>0</v>
      </c>
      <c r="J141" s="826" t="str">
        <f t="shared" si="37"/>
        <v/>
      </c>
      <c r="K141" s="517">
        <f>E141</f>
        <v>0</v>
      </c>
    </row>
    <row r="142" spans="1:11" ht="12.75" customHeight="1" x14ac:dyDescent="0.25">
      <c r="A142" s="828" t="s">
        <v>1348</v>
      </c>
      <c r="B142" s="142"/>
      <c r="C142" s="111">
        <f t="shared" ref="C142:H142" si="40">SUM(C143:C148)</f>
        <v>0</v>
      </c>
      <c r="D142" s="43">
        <f t="shared" si="40"/>
        <v>0</v>
      </c>
      <c r="E142" s="41">
        <f t="shared" si="40"/>
        <v>0</v>
      </c>
      <c r="F142" s="41">
        <f t="shared" si="40"/>
        <v>0</v>
      </c>
      <c r="G142" s="41">
        <f t="shared" si="40"/>
        <v>0</v>
      </c>
      <c r="H142" s="41">
        <f t="shared" si="40"/>
        <v>0</v>
      </c>
      <c r="I142" s="221">
        <f t="shared" si="39"/>
        <v>0</v>
      </c>
      <c r="J142" s="829" t="str">
        <f t="shared" si="37"/>
        <v/>
      </c>
      <c r="K142" s="119">
        <f>SUM(K143:K148)</f>
        <v>0</v>
      </c>
    </row>
    <row r="143" spans="1:11" ht="12.75" customHeight="1" x14ac:dyDescent="0.25">
      <c r="A143" s="694" t="s">
        <v>1349</v>
      </c>
      <c r="B143" s="142"/>
      <c r="C143" s="526">
        <v>0</v>
      </c>
      <c r="D143" s="531">
        <v>0</v>
      </c>
      <c r="E143" s="329">
        <v>0</v>
      </c>
      <c r="F143" s="329">
        <v>0</v>
      </c>
      <c r="G143" s="329">
        <v>0</v>
      </c>
      <c r="H143" s="329">
        <f t="shared" ref="H143:H148" si="41">E143/12*$L$1</f>
        <v>0</v>
      </c>
      <c r="I143" s="41">
        <f t="shared" si="39"/>
        <v>0</v>
      </c>
      <c r="J143" s="826" t="str">
        <f t="shared" si="37"/>
        <v/>
      </c>
      <c r="K143" s="517">
        <f t="shared" ref="K143:K148" si="42">E143</f>
        <v>0</v>
      </c>
    </row>
    <row r="144" spans="1:11" ht="12.75" customHeight="1" x14ac:dyDescent="0.25">
      <c r="A144" s="694" t="s">
        <v>1350</v>
      </c>
      <c r="B144" s="142"/>
      <c r="C144" s="526">
        <v>0</v>
      </c>
      <c r="D144" s="531">
        <v>0</v>
      </c>
      <c r="E144" s="329">
        <v>0</v>
      </c>
      <c r="F144" s="329">
        <v>0</v>
      </c>
      <c r="G144" s="329">
        <v>0</v>
      </c>
      <c r="H144" s="329">
        <f t="shared" si="41"/>
        <v>0</v>
      </c>
      <c r="I144" s="41">
        <f t="shared" si="39"/>
        <v>0</v>
      </c>
      <c r="J144" s="826" t="str">
        <f t="shared" si="37"/>
        <v/>
      </c>
      <c r="K144" s="517">
        <f t="shared" si="42"/>
        <v>0</v>
      </c>
    </row>
    <row r="145" spans="1:11" ht="12.75" customHeight="1" x14ac:dyDescent="0.25">
      <c r="A145" s="694" t="s">
        <v>1351</v>
      </c>
      <c r="B145" s="142"/>
      <c r="C145" s="526">
        <v>0</v>
      </c>
      <c r="D145" s="531">
        <v>0</v>
      </c>
      <c r="E145" s="329">
        <v>0</v>
      </c>
      <c r="F145" s="329">
        <v>0</v>
      </c>
      <c r="G145" s="329">
        <v>0</v>
      </c>
      <c r="H145" s="329">
        <f t="shared" si="41"/>
        <v>0</v>
      </c>
      <c r="I145" s="41">
        <f t="shared" si="39"/>
        <v>0</v>
      </c>
      <c r="J145" s="826" t="str">
        <f t="shared" si="37"/>
        <v/>
      </c>
      <c r="K145" s="517">
        <f t="shared" si="42"/>
        <v>0</v>
      </c>
    </row>
    <row r="146" spans="1:11" ht="12.75" customHeight="1" x14ac:dyDescent="0.25">
      <c r="A146" s="694" t="s">
        <v>1352</v>
      </c>
      <c r="B146" s="142"/>
      <c r="C146" s="526">
        <v>0</v>
      </c>
      <c r="D146" s="531">
        <v>0</v>
      </c>
      <c r="E146" s="329">
        <v>0</v>
      </c>
      <c r="F146" s="329">
        <v>0</v>
      </c>
      <c r="G146" s="329">
        <v>0</v>
      </c>
      <c r="H146" s="329">
        <f t="shared" si="41"/>
        <v>0</v>
      </c>
      <c r="I146" s="41">
        <f t="shared" si="39"/>
        <v>0</v>
      </c>
      <c r="J146" s="826" t="str">
        <f t="shared" si="37"/>
        <v/>
      </c>
      <c r="K146" s="517">
        <f t="shared" si="42"/>
        <v>0</v>
      </c>
    </row>
    <row r="147" spans="1:11" ht="12.75" customHeight="1" x14ac:dyDescent="0.25">
      <c r="A147" s="694" t="s">
        <v>1353</v>
      </c>
      <c r="B147" s="142"/>
      <c r="C147" s="526">
        <v>0</v>
      </c>
      <c r="D147" s="531">
        <v>0</v>
      </c>
      <c r="E147" s="329">
        <v>0</v>
      </c>
      <c r="F147" s="329">
        <v>0</v>
      </c>
      <c r="G147" s="329">
        <v>0</v>
      </c>
      <c r="H147" s="329">
        <f t="shared" si="41"/>
        <v>0</v>
      </c>
      <c r="I147" s="41">
        <f t="shared" si="39"/>
        <v>0</v>
      </c>
      <c r="J147" s="826" t="str">
        <f t="shared" si="37"/>
        <v/>
      </c>
      <c r="K147" s="517">
        <f t="shared" si="42"/>
        <v>0</v>
      </c>
    </row>
    <row r="148" spans="1:11" ht="12.75" customHeight="1" x14ac:dyDescent="0.25">
      <c r="A148" s="694" t="s">
        <v>1354</v>
      </c>
      <c r="B148" s="142"/>
      <c r="C148" s="526">
        <v>0</v>
      </c>
      <c r="D148" s="531">
        <v>0</v>
      </c>
      <c r="E148" s="329">
        <v>0</v>
      </c>
      <c r="F148" s="329">
        <v>0</v>
      </c>
      <c r="G148" s="329">
        <v>0</v>
      </c>
      <c r="H148" s="329">
        <f t="shared" si="41"/>
        <v>0</v>
      </c>
      <c r="I148" s="41">
        <f t="shared" si="39"/>
        <v>0</v>
      </c>
      <c r="J148" s="826" t="str">
        <f t="shared" si="37"/>
        <v/>
      </c>
      <c r="K148" s="517">
        <f t="shared" si="42"/>
        <v>0</v>
      </c>
    </row>
    <row r="149" spans="1:11" ht="5.25" customHeight="1" x14ac:dyDescent="0.25">
      <c r="A149" s="39"/>
      <c r="B149" s="142"/>
      <c r="C149" s="833"/>
      <c r="D149" s="834"/>
      <c r="E149" s="419"/>
      <c r="F149" s="419"/>
      <c r="G149" s="419"/>
      <c r="H149" s="419"/>
      <c r="I149" s="41"/>
      <c r="J149" s="826"/>
      <c r="K149" s="420"/>
    </row>
    <row r="150" spans="1:11" ht="12.75" customHeight="1" x14ac:dyDescent="0.25">
      <c r="A150" s="32" t="s">
        <v>1355</v>
      </c>
      <c r="B150" s="142"/>
      <c r="C150" s="472">
        <f t="shared" ref="C150:H150" si="43">SUM(C151:C151)</f>
        <v>1679148.54</v>
      </c>
      <c r="D150" s="830">
        <f t="shared" si="43"/>
        <v>1947380.13022129</v>
      </c>
      <c r="E150" s="474">
        <f t="shared" si="43"/>
        <v>1549878</v>
      </c>
      <c r="F150" s="474">
        <f t="shared" si="43"/>
        <v>76960.83</v>
      </c>
      <c r="G150" s="474">
        <f t="shared" si="43"/>
        <v>1014564.84</v>
      </c>
      <c r="H150" s="474">
        <f t="shared" si="43"/>
        <v>1549878</v>
      </c>
      <c r="I150" s="474">
        <f>H150-G150</f>
        <v>535313.16</v>
      </c>
      <c r="J150" s="832">
        <f>IF(I150=0,"",I150/H150)</f>
        <v>0.3453905146082466</v>
      </c>
      <c r="K150" s="476">
        <f>SUM(K151)</f>
        <v>1549878</v>
      </c>
    </row>
    <row r="151" spans="1:11" ht="12.75" customHeight="1" x14ac:dyDescent="0.25">
      <c r="A151" s="828" t="s">
        <v>1355</v>
      </c>
      <c r="B151" s="142"/>
      <c r="C151" s="526">
        <v>1679148.54</v>
      </c>
      <c r="D151" s="531">
        <v>1947380.13022129</v>
      </c>
      <c r="E151" s="329">
        <v>1549878</v>
      </c>
      <c r="F151" s="329">
        <v>76960.83</v>
      </c>
      <c r="G151" s="329">
        <v>1014564.84</v>
      </c>
      <c r="H151" s="329">
        <f>E151/12*$L$1</f>
        <v>1549878</v>
      </c>
      <c r="I151" s="41">
        <f>H151-G151</f>
        <v>535313.16</v>
      </c>
      <c r="J151" s="826">
        <f>IF(I151=0,"",I151/H151)</f>
        <v>0.3453905146082466</v>
      </c>
      <c r="K151" s="517">
        <f>E151</f>
        <v>1549878</v>
      </c>
    </row>
    <row r="152" spans="1:11" ht="5.0999999999999996" customHeight="1" x14ac:dyDescent="0.25">
      <c r="A152" s="39"/>
      <c r="B152" s="142"/>
      <c r="C152" s="111"/>
      <c r="D152" s="221"/>
      <c r="E152" s="41"/>
      <c r="F152" s="41"/>
      <c r="G152" s="41"/>
      <c r="H152" s="41"/>
      <c r="I152" s="41"/>
      <c r="J152" s="826"/>
      <c r="K152" s="119"/>
    </row>
    <row r="153" spans="1:11" ht="12.75" customHeight="1" x14ac:dyDescent="0.25">
      <c r="A153" s="32" t="s">
        <v>1356</v>
      </c>
      <c r="B153" s="142"/>
      <c r="C153" s="472">
        <f t="shared" ref="C153:H153" si="44">SUM(C154:C154)</f>
        <v>850</v>
      </c>
      <c r="D153" s="830">
        <f t="shared" si="44"/>
        <v>5876.9337410151275</v>
      </c>
      <c r="E153" s="474">
        <f t="shared" si="44"/>
        <v>35880</v>
      </c>
      <c r="F153" s="474">
        <f t="shared" si="44"/>
        <v>0</v>
      </c>
      <c r="G153" s="474">
        <f t="shared" si="44"/>
        <v>24400</v>
      </c>
      <c r="H153" s="474">
        <f t="shared" si="44"/>
        <v>35880</v>
      </c>
      <c r="I153" s="474">
        <f>H153-G153</f>
        <v>11480</v>
      </c>
      <c r="J153" s="832">
        <f>IF(I153=0,"",I153/H153)</f>
        <v>0.31995540691192864</v>
      </c>
      <c r="K153" s="476">
        <f>SUM(K154)</f>
        <v>35880</v>
      </c>
    </row>
    <row r="154" spans="1:11" ht="12.75" customHeight="1" x14ac:dyDescent="0.25">
      <c r="A154" s="828" t="s">
        <v>1356</v>
      </c>
      <c r="B154" s="142"/>
      <c r="C154" s="526">
        <v>850</v>
      </c>
      <c r="D154" s="531">
        <v>5876.9337410151275</v>
      </c>
      <c r="E154" s="329">
        <v>35880</v>
      </c>
      <c r="F154" s="329">
        <v>0</v>
      </c>
      <c r="G154" s="329">
        <v>24400</v>
      </c>
      <c r="H154" s="329">
        <f>E154/12*$L$1</f>
        <v>35880</v>
      </c>
      <c r="I154" s="41">
        <f>H154-G154</f>
        <v>11480</v>
      </c>
      <c r="J154" s="826">
        <f>IF(I154=0,"",I154/H154)</f>
        <v>0.31995540691192864</v>
      </c>
      <c r="K154" s="517">
        <f>E154</f>
        <v>35880</v>
      </c>
    </row>
    <row r="155" spans="1:11" ht="5.0999999999999996" customHeight="1" x14ac:dyDescent="0.25">
      <c r="A155" s="39"/>
      <c r="B155" s="142"/>
      <c r="C155" s="111"/>
      <c r="D155" s="221"/>
      <c r="E155" s="41"/>
      <c r="F155" s="41"/>
      <c r="G155" s="41"/>
      <c r="H155" s="41"/>
      <c r="I155" s="41"/>
      <c r="J155" s="826" t="str">
        <f>IF(I155=0,"",I155/H155)</f>
        <v/>
      </c>
      <c r="K155" s="119"/>
    </row>
    <row r="156" spans="1:11" ht="12.75" customHeight="1" x14ac:dyDescent="0.25">
      <c r="A156" s="32" t="s">
        <v>1357</v>
      </c>
      <c r="B156" s="142"/>
      <c r="C156" s="472">
        <f t="shared" ref="C156:H156" si="45">SUM(C157:C157)</f>
        <v>1595853.9399999997</v>
      </c>
      <c r="D156" s="830">
        <f t="shared" si="45"/>
        <v>3553600.0287667662</v>
      </c>
      <c r="E156" s="474">
        <f t="shared" si="45"/>
        <v>5348434</v>
      </c>
      <c r="F156" s="474">
        <f t="shared" si="45"/>
        <v>745109.05</v>
      </c>
      <c r="G156" s="474">
        <f t="shared" si="45"/>
        <v>3565595.63</v>
      </c>
      <c r="H156" s="474">
        <f t="shared" si="45"/>
        <v>5348434</v>
      </c>
      <c r="I156" s="474">
        <f>H156-G156</f>
        <v>1782838.37</v>
      </c>
      <c r="J156" s="832">
        <f>IF(I156=0,"",I156/H156)</f>
        <v>0.33333838839555657</v>
      </c>
      <c r="K156" s="476">
        <f>SUM(K157)</f>
        <v>5348434</v>
      </c>
    </row>
    <row r="157" spans="1:11" ht="12.75" customHeight="1" x14ac:dyDescent="0.25">
      <c r="A157" s="828" t="s">
        <v>1357</v>
      </c>
      <c r="B157" s="142"/>
      <c r="C157" s="526">
        <v>1595853.9399999997</v>
      </c>
      <c r="D157" s="531">
        <v>3553600.0287667662</v>
      </c>
      <c r="E157" s="329">
        <v>5348434</v>
      </c>
      <c r="F157" s="329">
        <v>745109.05</v>
      </c>
      <c r="G157" s="329">
        <v>3565595.63</v>
      </c>
      <c r="H157" s="329">
        <f>E157/12*$L$1</f>
        <v>5348434</v>
      </c>
      <c r="I157" s="41">
        <f>H157-G157</f>
        <v>1782838.37</v>
      </c>
      <c r="J157" s="826">
        <f>IF(I157=0,"",I157/H157)</f>
        <v>0.33333838839555657</v>
      </c>
      <c r="K157" s="517">
        <f>E157</f>
        <v>5348434</v>
      </c>
    </row>
    <row r="158" spans="1:11" ht="5.0999999999999996" customHeight="1" x14ac:dyDescent="0.25">
      <c r="A158" s="39"/>
      <c r="B158" s="142"/>
      <c r="C158" s="111"/>
      <c r="D158" s="221"/>
      <c r="E158" s="41"/>
      <c r="F158" s="41"/>
      <c r="G158" s="41"/>
      <c r="H158" s="41"/>
      <c r="I158" s="41"/>
      <c r="J158" s="826"/>
      <c r="K158" s="119"/>
    </row>
    <row r="159" spans="1:11" ht="12.75" customHeight="1" x14ac:dyDescent="0.25">
      <c r="A159" s="32" t="s">
        <v>1358</v>
      </c>
      <c r="B159" s="142"/>
      <c r="C159" s="472">
        <f t="shared" ref="C159:H159" si="46">SUM(C160:C160)</f>
        <v>5649662.8599999994</v>
      </c>
      <c r="D159" s="830">
        <f t="shared" si="46"/>
        <v>5552551.3095679348</v>
      </c>
      <c r="E159" s="474">
        <f t="shared" si="46"/>
        <v>6427151</v>
      </c>
      <c r="F159" s="474">
        <f t="shared" si="46"/>
        <v>728017.8</v>
      </c>
      <c r="G159" s="474">
        <f t="shared" si="46"/>
        <v>7356419.9199999999</v>
      </c>
      <c r="H159" s="474">
        <f t="shared" si="46"/>
        <v>6427151</v>
      </c>
      <c r="I159" s="474">
        <f>H159-G159</f>
        <v>-929268.91999999993</v>
      </c>
      <c r="J159" s="832">
        <f>IF(I159=0,"",I159/H159)</f>
        <v>-0.14458488994579402</v>
      </c>
      <c r="K159" s="476">
        <f>SUM(K160)</f>
        <v>6427151</v>
      </c>
    </row>
    <row r="160" spans="1:11" ht="12.75" customHeight="1" x14ac:dyDescent="0.25">
      <c r="A160" s="828" t="s">
        <v>1358</v>
      </c>
      <c r="B160" s="142"/>
      <c r="C160" s="526">
        <v>5649662.8599999994</v>
      </c>
      <c r="D160" s="531">
        <v>5552551.3095679348</v>
      </c>
      <c r="E160" s="329">
        <v>6427151</v>
      </c>
      <c r="F160" s="329">
        <v>728017.8</v>
      </c>
      <c r="G160" s="329">
        <v>7356419.9199999999</v>
      </c>
      <c r="H160" s="329">
        <f>E160/12*$L$1</f>
        <v>6427151</v>
      </c>
      <c r="I160" s="41">
        <f>H160-G160</f>
        <v>-929268.91999999993</v>
      </c>
      <c r="J160" s="826">
        <f>IF(I160=0,"",I160/H160)</f>
        <v>-0.14458488994579402</v>
      </c>
      <c r="K160" s="517">
        <f>E160</f>
        <v>6427151</v>
      </c>
    </row>
    <row r="161" spans="1:11" ht="5.0999999999999996" customHeight="1" x14ac:dyDescent="0.25">
      <c r="A161" s="39"/>
      <c r="B161" s="142"/>
      <c r="C161" s="111"/>
      <c r="D161" s="221"/>
      <c r="E161" s="41"/>
      <c r="F161" s="41"/>
      <c r="G161" s="41"/>
      <c r="H161" s="41"/>
      <c r="I161" s="41"/>
      <c r="J161" s="826"/>
      <c r="K161" s="119"/>
    </row>
    <row r="162" spans="1:11" ht="12.75" customHeight="1" x14ac:dyDescent="0.25">
      <c r="A162" s="32" t="s">
        <v>1367</v>
      </c>
      <c r="B162" s="142"/>
      <c r="C162" s="472">
        <f t="shared" ref="C162:H162" si="47">SUM(C163:C163)</f>
        <v>0</v>
      </c>
      <c r="D162" s="830">
        <f t="shared" si="47"/>
        <v>0</v>
      </c>
      <c r="E162" s="474">
        <f t="shared" si="47"/>
        <v>0</v>
      </c>
      <c r="F162" s="474">
        <f t="shared" si="47"/>
        <v>0</v>
      </c>
      <c r="G162" s="474">
        <f t="shared" si="47"/>
        <v>0</v>
      </c>
      <c r="H162" s="474">
        <f t="shared" si="47"/>
        <v>0</v>
      </c>
      <c r="I162" s="474">
        <f>H162-G162</f>
        <v>0</v>
      </c>
      <c r="J162" s="832" t="str">
        <f>IF(I162=0,"",I162/H162)</f>
        <v/>
      </c>
      <c r="K162" s="476">
        <f>SUM(K163)</f>
        <v>0</v>
      </c>
    </row>
    <row r="163" spans="1:11" ht="12.75" customHeight="1" x14ac:dyDescent="0.25">
      <c r="A163" s="828" t="s">
        <v>1367</v>
      </c>
      <c r="B163" s="142"/>
      <c r="C163" s="526">
        <v>0</v>
      </c>
      <c r="D163" s="531">
        <v>0</v>
      </c>
      <c r="E163" s="329">
        <v>0</v>
      </c>
      <c r="F163" s="329">
        <v>0</v>
      </c>
      <c r="G163" s="329">
        <v>0</v>
      </c>
      <c r="H163" s="329">
        <f>E163/12*$L$1</f>
        <v>0</v>
      </c>
      <c r="I163" s="41">
        <f>H163-G163</f>
        <v>0</v>
      </c>
      <c r="J163" s="826" t="str">
        <f>IF(I163=0,"",I163/H163)</f>
        <v/>
      </c>
      <c r="K163" s="517">
        <f>E163</f>
        <v>0</v>
      </c>
    </row>
    <row r="164" spans="1:11" ht="5.0999999999999996" customHeight="1" x14ac:dyDescent="0.25">
      <c r="A164" s="39"/>
      <c r="B164" s="142"/>
      <c r="C164" s="111"/>
      <c r="D164" s="221"/>
      <c r="E164" s="41"/>
      <c r="F164" s="41"/>
      <c r="G164" s="41"/>
      <c r="H164" s="41"/>
      <c r="I164" s="41"/>
      <c r="J164" s="826"/>
      <c r="K164" s="119"/>
    </row>
    <row r="165" spans="1:11" ht="12.75" customHeight="1" x14ac:dyDescent="0.25">
      <c r="A165" s="32" t="s">
        <v>1359</v>
      </c>
      <c r="B165" s="142"/>
      <c r="C165" s="472">
        <f t="shared" ref="C165:H165" si="48">SUM(C166:C166)</f>
        <v>0</v>
      </c>
      <c r="D165" s="830">
        <f t="shared" si="48"/>
        <v>0</v>
      </c>
      <c r="E165" s="474">
        <f t="shared" si="48"/>
        <v>0</v>
      </c>
      <c r="F165" s="474">
        <f t="shared" si="48"/>
        <v>0</v>
      </c>
      <c r="G165" s="474">
        <f t="shared" si="48"/>
        <v>0</v>
      </c>
      <c r="H165" s="474">
        <f t="shared" si="48"/>
        <v>0</v>
      </c>
      <c r="I165" s="474">
        <f>H165-G165</f>
        <v>0</v>
      </c>
      <c r="J165" s="832" t="str">
        <f>IF(I165=0,"",I165/H165)</f>
        <v/>
      </c>
      <c r="K165" s="476">
        <f>SUM(K166)</f>
        <v>0</v>
      </c>
    </row>
    <row r="166" spans="1:11" ht="12.75" customHeight="1" x14ac:dyDescent="0.25">
      <c r="A166" s="828" t="s">
        <v>1359</v>
      </c>
      <c r="B166" s="142"/>
      <c r="C166" s="526">
        <v>0</v>
      </c>
      <c r="D166" s="531">
        <v>0</v>
      </c>
      <c r="E166" s="329">
        <v>0</v>
      </c>
      <c r="F166" s="329">
        <v>0</v>
      </c>
      <c r="G166" s="329">
        <v>0</v>
      </c>
      <c r="H166" s="329">
        <f>E166/12*$L$1</f>
        <v>0</v>
      </c>
      <c r="I166" s="41">
        <f>H166-G166</f>
        <v>0</v>
      </c>
      <c r="J166" s="826" t="str">
        <f>IF(I166=0,"",I166/H166)</f>
        <v/>
      </c>
      <c r="K166" s="517">
        <f>E166</f>
        <v>0</v>
      </c>
    </row>
    <row r="167" spans="1:11" ht="5.0999999999999996" customHeight="1" x14ac:dyDescent="0.25">
      <c r="A167" s="828"/>
      <c r="B167" s="142"/>
      <c r="C167" s="111"/>
      <c r="D167" s="221"/>
      <c r="E167" s="41"/>
      <c r="F167" s="41"/>
      <c r="G167" s="41"/>
      <c r="H167" s="41"/>
      <c r="I167" s="41"/>
      <c r="J167" s="826" t="str">
        <f>IF(I167=0,"",I167/H167)</f>
        <v/>
      </c>
      <c r="K167" s="119"/>
    </row>
    <row r="168" spans="1:11" ht="12.75" customHeight="1" x14ac:dyDescent="0.25">
      <c r="A168" s="49" t="s">
        <v>894</v>
      </c>
      <c r="B168" s="199">
        <v>1</v>
      </c>
      <c r="C168" s="94">
        <f t="shared" ref="C168:H168" si="49">C7+C75+C104+C111+C119+C137+C140+C150+C153+C156+C159+C162+C165</f>
        <v>61957270.319999993</v>
      </c>
      <c r="D168" s="230">
        <f t="shared" si="49"/>
        <v>69347139</v>
      </c>
      <c r="E168" s="51">
        <f t="shared" si="49"/>
        <v>69342404</v>
      </c>
      <c r="F168" s="51">
        <f t="shared" si="49"/>
        <v>10119692.320000002</v>
      </c>
      <c r="G168" s="51">
        <f t="shared" si="49"/>
        <v>54447736.850000009</v>
      </c>
      <c r="H168" s="51">
        <f t="shared" si="49"/>
        <v>69342404</v>
      </c>
      <c r="I168" s="51">
        <f t="shared" si="1"/>
        <v>14894667.149999991</v>
      </c>
      <c r="J168" s="835">
        <f t="shared" si="2"/>
        <v>0.21479882857825339</v>
      </c>
      <c r="K168" s="198">
        <f>K7+K75+K104+K111+K119+K137+K140+K150+K153+K156+K159+K162+K165</f>
        <v>69342404</v>
      </c>
    </row>
    <row r="169" spans="1:11" ht="12.75" customHeight="1" x14ac:dyDescent="0.25">
      <c r="A169" s="680"/>
      <c r="C169" s="55"/>
      <c r="D169" s="55"/>
      <c r="E169" s="55"/>
      <c r="F169" s="55"/>
      <c r="G169" s="55"/>
      <c r="H169" s="55"/>
      <c r="I169" s="55"/>
      <c r="J169" s="55"/>
      <c r="K169" s="381"/>
    </row>
    <row r="170" spans="1:11" ht="12.75" customHeight="1" x14ac:dyDescent="0.25">
      <c r="A170" s="78"/>
      <c r="C170" s="55"/>
      <c r="D170" s="55"/>
      <c r="E170" s="55"/>
      <c r="F170" s="55"/>
      <c r="G170" s="55"/>
      <c r="H170" s="55"/>
      <c r="I170" s="55"/>
      <c r="J170" s="55"/>
      <c r="K170" s="381"/>
    </row>
    <row r="171" spans="1:11" ht="11.25" customHeight="1" x14ac:dyDescent="0.25">
      <c r="A171" s="703"/>
      <c r="B171" s="681"/>
      <c r="C171" s="682"/>
      <c r="D171" s="682"/>
      <c r="E171" s="682"/>
      <c r="F171" s="682"/>
      <c r="G171" s="682"/>
      <c r="H171" s="682"/>
      <c r="I171" s="682"/>
      <c r="J171" s="682"/>
      <c r="K171" s="683"/>
    </row>
  </sheetData>
  <mergeCells count="3">
    <mergeCell ref="A1:K1"/>
    <mergeCell ref="A2:A3"/>
    <mergeCell ref="B2:B3"/>
  </mergeCells>
  <phoneticPr fontId="3" type="noConversion"/>
  <printOptions horizontalCentered="1"/>
  <pageMargins left="0.19685039370078741" right="0.19685039370078741" top="0.39370078740157483" bottom="0.39370078740157483" header="0.51181102362204722" footer="0.51181102362204722"/>
  <pageSetup paperSize="9" scale="91" fitToHeight="3" orientation="portrait" r:id="rId1"/>
  <headerFooter alignWithMargins="0"/>
  <ignoredErrors>
    <ignoredError sqref="H7:H12 K9:K12 K7:K8" unlockedFormula="1"/>
    <ignoredError sqref="H13:H96 K13:K96 H100:H102 K100:K102 H104:H166 K104:K166" formula="1" unlockedFormula="1"/>
    <ignoredError sqref="H167:K168 I13:J96 I100:J102 I104:J166" formula="1"/>
    <ignoredError sqref="K97:K99 H97:H99" formula="1" formulaRange="1" unlockedFormula="1"/>
    <ignoredError sqref="I97:J99" formula="1" formulaRange="1"/>
    <ignoredError sqref="D99:G99 D97:D98"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1">
    <tabColor indexed="42"/>
    <pageSetUpPr fitToPage="1"/>
  </sheetPr>
  <dimension ref="A1:L171"/>
  <sheetViews>
    <sheetView showGridLines="0" view="pageBreakPreview" zoomScaleNormal="100" zoomScaleSheetLayoutView="100" workbookViewId="0">
      <pane ySplit="4" topLeftCell="A146" activePane="bottomLeft" state="frozen"/>
      <selection pane="bottomLeft" activeCell="G169" sqref="G169"/>
    </sheetView>
  </sheetViews>
  <sheetFormatPr defaultColWidth="9.140625" defaultRowHeight="12.75" x14ac:dyDescent="0.25"/>
  <cols>
    <col min="1" max="1" width="34.140625" style="22" customWidth="1"/>
    <col min="2" max="2" width="3.140625" style="54" customWidth="1"/>
    <col min="3" max="8" width="8.7109375" style="22" customWidth="1"/>
    <col min="9" max="10" width="6.7109375" style="22" customWidth="1"/>
    <col min="11" max="11" width="8.7109375" style="22" customWidth="1"/>
    <col min="12" max="12" width="2.140625" style="22" hidden="1" customWidth="1"/>
    <col min="13" max="13" width="9.85546875" style="22" customWidth="1"/>
    <col min="14" max="16" width="9.5703125" style="22" customWidth="1"/>
    <col min="17" max="18" width="9.85546875" style="22" customWidth="1"/>
    <col min="19" max="16384" width="9.140625" style="22"/>
  </cols>
  <sheetData>
    <row r="1" spans="1:12" ht="13.5" x14ac:dyDescent="0.25">
      <c r="A1" s="982" t="str">
        <f>muni&amp; " - "&amp;S71Sd&amp; " - "&amp;Head57</f>
        <v>WC025 Breede Valley - Supporting Table SC13d Monthly Budget Statement - depreciation by asset class - Q4 Fourth Quarter</v>
      </c>
      <c r="B1" s="983"/>
      <c r="C1" s="983"/>
      <c r="D1" s="983"/>
      <c r="E1" s="983"/>
      <c r="F1" s="983"/>
      <c r="G1" s="983"/>
      <c r="H1" s="983"/>
      <c r="I1" s="983"/>
      <c r="J1" s="983"/>
      <c r="K1" s="984"/>
      <c r="L1" s="22">
        <v>12</v>
      </c>
    </row>
    <row r="2" spans="1:12" x14ac:dyDescent="0.25">
      <c r="A2" s="1038" t="str">
        <f>desc</f>
        <v>Description</v>
      </c>
      <c r="B2" s="1040" t="str">
        <f>head27</f>
        <v>Ref</v>
      </c>
      <c r="C2" s="815" t="str">
        <f>Head1</f>
        <v>2017/18</v>
      </c>
      <c r="D2" s="816" t="str">
        <f>Head2</f>
        <v>Budget Year 2018/19</v>
      </c>
      <c r="E2" s="817"/>
      <c r="F2" s="817"/>
      <c r="G2" s="817"/>
      <c r="H2" s="817"/>
      <c r="I2" s="817"/>
      <c r="J2" s="817"/>
      <c r="K2" s="818"/>
    </row>
    <row r="3" spans="1:12" ht="25.5" x14ac:dyDescent="0.25">
      <c r="A3" s="1039"/>
      <c r="B3" s="1041"/>
      <c r="C3" s="819" t="str">
        <f>Head5</f>
        <v>Audited Outcome</v>
      </c>
      <c r="D3" s="820" t="str">
        <f>Head6</f>
        <v>Original Budget</v>
      </c>
      <c r="E3" s="821" t="str">
        <f>Head7</f>
        <v>Adjusted Budget</v>
      </c>
      <c r="F3" s="821" t="str">
        <f>Head38</f>
        <v>Monthly actual</v>
      </c>
      <c r="G3" s="821" t="str">
        <f>Head39</f>
        <v>YearTD actual</v>
      </c>
      <c r="H3" s="821" t="str">
        <f>Head40</f>
        <v>YearTD budget</v>
      </c>
      <c r="I3" s="821" t="str">
        <f>Head41</f>
        <v>YTD variance</v>
      </c>
      <c r="J3" s="822" t="str">
        <f>Head41</f>
        <v>YTD variance</v>
      </c>
      <c r="K3" s="823" t="str">
        <f>Head8</f>
        <v>Full Year Forecast</v>
      </c>
    </row>
    <row r="4" spans="1:12" x14ac:dyDescent="0.25">
      <c r="A4" s="824" t="s">
        <v>678</v>
      </c>
      <c r="B4" s="211">
        <v>1</v>
      </c>
      <c r="C4" s="211"/>
      <c r="D4" s="253"/>
      <c r="E4" s="249"/>
      <c r="F4" s="825"/>
      <c r="G4" s="825"/>
      <c r="H4" s="825"/>
      <c r="I4" s="825"/>
      <c r="J4" s="300" t="s">
        <v>586</v>
      </c>
      <c r="K4" s="408"/>
    </row>
    <row r="5" spans="1:12" ht="12.75" customHeight="1" x14ac:dyDescent="0.25">
      <c r="A5" s="149" t="s">
        <v>1090</v>
      </c>
      <c r="B5" s="142"/>
      <c r="C5" s="111"/>
      <c r="D5" s="221"/>
      <c r="E5" s="41"/>
      <c r="F5" s="41"/>
      <c r="G5" s="41"/>
      <c r="H5" s="41"/>
      <c r="I5" s="41"/>
      <c r="J5" s="826"/>
      <c r="K5" s="119"/>
    </row>
    <row r="6" spans="1:12" ht="5.0999999999999996" customHeight="1" x14ac:dyDescent="0.25">
      <c r="A6" s="32"/>
      <c r="B6" s="142"/>
      <c r="C6" s="111"/>
      <c r="D6" s="221"/>
      <c r="E6" s="41"/>
      <c r="F6" s="41"/>
      <c r="G6" s="41"/>
      <c r="H6" s="41"/>
      <c r="I6" s="41"/>
      <c r="J6" s="826"/>
      <c r="K6" s="119"/>
    </row>
    <row r="7" spans="1:12" ht="12.75" customHeight="1" x14ac:dyDescent="0.25">
      <c r="A7" s="32" t="s">
        <v>654</v>
      </c>
      <c r="B7" s="142"/>
      <c r="C7" s="91">
        <f t="shared" ref="C7:H7" si="0">C8+C13+C17+C27+C38+C45+C53+C63+C69</f>
        <v>70610594.514849067</v>
      </c>
      <c r="D7" s="47">
        <f t="shared" si="0"/>
        <v>71592786.39429076</v>
      </c>
      <c r="E7" s="46">
        <f t="shared" si="0"/>
        <v>71592786.39429076</v>
      </c>
      <c r="F7" s="46">
        <f t="shared" si="0"/>
        <v>10961965.300000001</v>
      </c>
      <c r="G7" s="46">
        <f t="shared" si="0"/>
        <v>68969502.080000013</v>
      </c>
      <c r="H7" s="46">
        <f t="shared" si="0"/>
        <v>71592786.39429076</v>
      </c>
      <c r="I7" s="85">
        <f t="shared" ref="I7:I168" si="1">H7-G7</f>
        <v>2623284.314290747</v>
      </c>
      <c r="J7" s="827">
        <f t="shared" ref="J7:J168" si="2">IF(I7=0,"",I7/H7)</f>
        <v>3.6641740689393583E-2</v>
      </c>
      <c r="K7" s="159">
        <f>K8+K13+K17+K27+K38+K45+K53+K63+K69</f>
        <v>71592786.39429076</v>
      </c>
    </row>
    <row r="8" spans="1:12" ht="12.75" customHeight="1" x14ac:dyDescent="0.25">
      <c r="A8" s="828" t="s">
        <v>1250</v>
      </c>
      <c r="B8" s="142"/>
      <c r="C8" s="449">
        <f t="shared" ref="C8:H8" si="3">SUM(C9:C12)</f>
        <v>24340419.003711928</v>
      </c>
      <c r="D8" s="450">
        <f>SUM(D9:D12)</f>
        <v>24636438.09678461</v>
      </c>
      <c r="E8" s="404">
        <f>SUM(E9:E12)</f>
        <v>24636438.09678461</v>
      </c>
      <c r="F8" s="404">
        <f t="shared" si="3"/>
        <v>3734425.8600000003</v>
      </c>
      <c r="G8" s="404">
        <f t="shared" si="3"/>
        <v>23738492.210000001</v>
      </c>
      <c r="H8" s="404">
        <f t="shared" si="3"/>
        <v>24636438.09678461</v>
      </c>
      <c r="I8" s="221">
        <f t="shared" si="1"/>
        <v>897945.88678460941</v>
      </c>
      <c r="J8" s="829">
        <f t="shared" si="2"/>
        <v>3.6447877865177412E-2</v>
      </c>
      <c r="K8" s="451">
        <f>SUM(K9:K12)</f>
        <v>24636438.09678461</v>
      </c>
    </row>
    <row r="9" spans="1:12" ht="12.75" customHeight="1" x14ac:dyDescent="0.25">
      <c r="A9" s="694" t="s">
        <v>172</v>
      </c>
      <c r="B9" s="142"/>
      <c r="C9" s="526">
        <v>22425930.76034398</v>
      </c>
      <c r="D9" s="328">
        <v>22693558.568579063</v>
      </c>
      <c r="E9" s="329">
        <v>22693558.568579063</v>
      </c>
      <c r="F9" s="329">
        <v>3713819.77</v>
      </c>
      <c r="G9" s="329">
        <v>23615193.530000001</v>
      </c>
      <c r="H9" s="329">
        <f>E9/12*$L$1</f>
        <v>22693558.568579063</v>
      </c>
      <c r="I9" s="221">
        <f t="shared" si="1"/>
        <v>-921634.96142093837</v>
      </c>
      <c r="J9" s="829">
        <f t="shared" si="2"/>
        <v>-4.0612183348671074E-2</v>
      </c>
      <c r="K9" s="517">
        <f>E9</f>
        <v>22693558.568579063</v>
      </c>
    </row>
    <row r="10" spans="1:12" ht="12.75" customHeight="1" x14ac:dyDescent="0.25">
      <c r="A10" s="694" t="s">
        <v>1251</v>
      </c>
      <c r="B10" s="142"/>
      <c r="C10" s="526">
        <v>1914488.243367946</v>
      </c>
      <c r="D10" s="328">
        <v>1942879.5282055477</v>
      </c>
      <c r="E10" s="329">
        <v>1942879.5282055477</v>
      </c>
      <c r="F10" s="329">
        <v>332.74</v>
      </c>
      <c r="G10" s="329">
        <v>1990.99</v>
      </c>
      <c r="H10" s="329">
        <f>E10/12*$L$1</f>
        <v>1942879.5282055477</v>
      </c>
      <c r="I10" s="221">
        <f t="shared" si="1"/>
        <v>1940888.5382055477</v>
      </c>
      <c r="J10" s="829">
        <f t="shared" si="2"/>
        <v>0.99897523754247441</v>
      </c>
      <c r="K10" s="517">
        <f>E10</f>
        <v>1942879.5282055477</v>
      </c>
    </row>
    <row r="11" spans="1:12" ht="12.75" customHeight="1" x14ac:dyDescent="0.25">
      <c r="A11" s="694" t="s">
        <v>1252</v>
      </c>
      <c r="B11" s="142"/>
      <c r="C11" s="526">
        <v>0</v>
      </c>
      <c r="D11" s="328">
        <v>0</v>
      </c>
      <c r="E11" s="329">
        <v>0</v>
      </c>
      <c r="F11" s="329">
        <v>20273.349999999995</v>
      </c>
      <c r="G11" s="329">
        <v>121307.69</v>
      </c>
      <c r="H11" s="329">
        <f>E11/12*$L$1</f>
        <v>0</v>
      </c>
      <c r="I11" s="221">
        <f t="shared" si="1"/>
        <v>-121307.69</v>
      </c>
      <c r="J11" s="829" t="e">
        <f t="shared" si="2"/>
        <v>#DIV/0!</v>
      </c>
      <c r="K11" s="517">
        <f>E11</f>
        <v>0</v>
      </c>
    </row>
    <row r="12" spans="1:12" ht="12.75" customHeight="1" x14ac:dyDescent="0.25">
      <c r="A12" s="694" t="s">
        <v>1253</v>
      </c>
      <c r="B12" s="142"/>
      <c r="C12" s="526">
        <v>0</v>
      </c>
      <c r="D12" s="328">
        <v>0</v>
      </c>
      <c r="E12" s="329">
        <v>0</v>
      </c>
      <c r="F12" s="329">
        <v>0</v>
      </c>
      <c r="G12" s="329">
        <v>0</v>
      </c>
      <c r="H12" s="329">
        <f>E12/12*$L$1</f>
        <v>0</v>
      </c>
      <c r="I12" s="221">
        <f t="shared" si="1"/>
        <v>0</v>
      </c>
      <c r="J12" s="829" t="str">
        <f t="shared" si="2"/>
        <v/>
      </c>
      <c r="K12" s="517">
        <f>E12</f>
        <v>0</v>
      </c>
    </row>
    <row r="13" spans="1:12" ht="12.75" customHeight="1" x14ac:dyDescent="0.25">
      <c r="A13" s="828" t="s">
        <v>1254</v>
      </c>
      <c r="B13" s="142"/>
      <c r="C13" s="111">
        <f t="shared" ref="C13:H13" si="4">SUM(C14:C16)</f>
        <v>0</v>
      </c>
      <c r="D13" s="43">
        <f t="shared" si="4"/>
        <v>0</v>
      </c>
      <c r="E13" s="41">
        <f t="shared" si="4"/>
        <v>0</v>
      </c>
      <c r="F13" s="41">
        <f t="shared" si="4"/>
        <v>0</v>
      </c>
      <c r="G13" s="41">
        <f t="shared" si="4"/>
        <v>0</v>
      </c>
      <c r="H13" s="41">
        <f t="shared" si="4"/>
        <v>0</v>
      </c>
      <c r="I13" s="221">
        <f t="shared" si="1"/>
        <v>0</v>
      </c>
      <c r="J13" s="829" t="str">
        <f t="shared" si="2"/>
        <v/>
      </c>
      <c r="K13" s="119">
        <f>SUM(K14:K16)</f>
        <v>0</v>
      </c>
    </row>
    <row r="14" spans="1:12" ht="12.75" customHeight="1" x14ac:dyDescent="0.25">
      <c r="A14" s="694" t="s">
        <v>1255</v>
      </c>
      <c r="B14" s="142"/>
      <c r="C14" s="526">
        <v>0</v>
      </c>
      <c r="D14" s="328">
        <v>0</v>
      </c>
      <c r="E14" s="329">
        <v>0</v>
      </c>
      <c r="F14" s="329">
        <v>0</v>
      </c>
      <c r="G14" s="329">
        <v>0</v>
      </c>
      <c r="H14" s="329">
        <f>E14/12*$L$1</f>
        <v>0</v>
      </c>
      <c r="I14" s="221">
        <f t="shared" si="1"/>
        <v>0</v>
      </c>
      <c r="J14" s="829" t="str">
        <f t="shared" si="2"/>
        <v/>
      </c>
      <c r="K14" s="517">
        <f>E14</f>
        <v>0</v>
      </c>
    </row>
    <row r="15" spans="1:12" ht="12.75" customHeight="1" x14ac:dyDescent="0.25">
      <c r="A15" s="694" t="s">
        <v>1256</v>
      </c>
      <c r="B15" s="142"/>
      <c r="C15" s="526">
        <v>0</v>
      </c>
      <c r="D15" s="328">
        <v>0</v>
      </c>
      <c r="E15" s="329">
        <v>0</v>
      </c>
      <c r="F15" s="329">
        <v>0</v>
      </c>
      <c r="G15" s="329">
        <v>0</v>
      </c>
      <c r="H15" s="329">
        <f>E15/12*$L$1</f>
        <v>0</v>
      </c>
      <c r="I15" s="221">
        <f t="shared" si="1"/>
        <v>0</v>
      </c>
      <c r="J15" s="829" t="str">
        <f t="shared" si="2"/>
        <v/>
      </c>
      <c r="K15" s="517">
        <f>E15</f>
        <v>0</v>
      </c>
    </row>
    <row r="16" spans="1:12" ht="12.75" customHeight="1" x14ac:dyDescent="0.25">
      <c r="A16" s="694" t="s">
        <v>1257</v>
      </c>
      <c r="B16" s="142"/>
      <c r="C16" s="526">
        <v>0</v>
      </c>
      <c r="D16" s="328">
        <v>0</v>
      </c>
      <c r="E16" s="329">
        <v>0</v>
      </c>
      <c r="F16" s="329">
        <v>0</v>
      </c>
      <c r="G16" s="329">
        <v>0</v>
      </c>
      <c r="H16" s="329">
        <f>E16/12*$L$1</f>
        <v>0</v>
      </c>
      <c r="I16" s="221">
        <f t="shared" si="1"/>
        <v>0</v>
      </c>
      <c r="J16" s="829" t="str">
        <f t="shared" si="2"/>
        <v/>
      </c>
      <c r="K16" s="517">
        <f>E16</f>
        <v>0</v>
      </c>
    </row>
    <row r="17" spans="1:11" ht="12.75" customHeight="1" x14ac:dyDescent="0.25">
      <c r="A17" s="828" t="s">
        <v>1258</v>
      </c>
      <c r="B17" s="142"/>
      <c r="C17" s="111">
        <f t="shared" ref="C17:H17" si="5">SUM(C18:C26)</f>
        <v>12833940.783919297</v>
      </c>
      <c r="D17" s="43">
        <f t="shared" si="5"/>
        <v>13024264.265741345</v>
      </c>
      <c r="E17" s="41">
        <f t="shared" si="5"/>
        <v>13024264.265741345</v>
      </c>
      <c r="F17" s="41">
        <f t="shared" si="5"/>
        <v>2768646.6599999997</v>
      </c>
      <c r="G17" s="41">
        <f t="shared" si="5"/>
        <v>16566362.930000002</v>
      </c>
      <c r="H17" s="41">
        <f t="shared" si="5"/>
        <v>13024264.265741345</v>
      </c>
      <c r="I17" s="221">
        <f t="shared" si="1"/>
        <v>-3542098.664258657</v>
      </c>
      <c r="J17" s="829">
        <f t="shared" si="2"/>
        <v>-0.27196151674960195</v>
      </c>
      <c r="K17" s="119">
        <f>SUM(K18:K26)</f>
        <v>13024264.265741345</v>
      </c>
    </row>
    <row r="18" spans="1:11" ht="12.75" customHeight="1" x14ac:dyDescent="0.25">
      <c r="A18" s="694" t="s">
        <v>1259</v>
      </c>
      <c r="B18" s="142"/>
      <c r="C18" s="526">
        <v>0</v>
      </c>
      <c r="D18" s="328">
        <v>0</v>
      </c>
      <c r="E18" s="329">
        <v>0</v>
      </c>
      <c r="F18" s="329">
        <v>0</v>
      </c>
      <c r="G18" s="329">
        <v>0</v>
      </c>
      <c r="H18" s="329">
        <f t="shared" ref="H18:H26" si="6">E18/12*$L$1</f>
        <v>0</v>
      </c>
      <c r="I18" s="221">
        <f t="shared" si="1"/>
        <v>0</v>
      </c>
      <c r="J18" s="829" t="str">
        <f t="shared" si="2"/>
        <v/>
      </c>
      <c r="K18" s="517">
        <f t="shared" ref="K18:K26" si="7">E18</f>
        <v>0</v>
      </c>
    </row>
    <row r="19" spans="1:11" ht="12.75" customHeight="1" x14ac:dyDescent="0.25">
      <c r="A19" s="694" t="s">
        <v>1260</v>
      </c>
      <c r="B19" s="142"/>
      <c r="C19" s="526">
        <v>0</v>
      </c>
      <c r="D19" s="328">
        <v>0</v>
      </c>
      <c r="E19" s="329">
        <v>0</v>
      </c>
      <c r="F19" s="329">
        <v>170017.19</v>
      </c>
      <c r="G19" s="329">
        <v>1017315.24</v>
      </c>
      <c r="H19" s="329">
        <f t="shared" si="6"/>
        <v>0</v>
      </c>
      <c r="I19" s="221">
        <f t="shared" si="1"/>
        <v>-1017315.24</v>
      </c>
      <c r="J19" s="829" t="e">
        <f t="shared" si="2"/>
        <v>#DIV/0!</v>
      </c>
      <c r="K19" s="517">
        <f t="shared" si="7"/>
        <v>0</v>
      </c>
    </row>
    <row r="20" spans="1:11" ht="12.75" customHeight="1" x14ac:dyDescent="0.25">
      <c r="A20" s="694" t="s">
        <v>1261</v>
      </c>
      <c r="B20" s="142"/>
      <c r="C20" s="526">
        <v>0</v>
      </c>
      <c r="D20" s="328">
        <v>0</v>
      </c>
      <c r="E20" s="329">
        <v>0</v>
      </c>
      <c r="F20" s="329">
        <v>1040647.88</v>
      </c>
      <c r="G20" s="329">
        <v>6226824.6100000003</v>
      </c>
      <c r="H20" s="329">
        <f t="shared" si="6"/>
        <v>0</v>
      </c>
      <c r="I20" s="221">
        <f t="shared" si="1"/>
        <v>-6226824.6100000003</v>
      </c>
      <c r="J20" s="829" t="e">
        <f t="shared" si="2"/>
        <v>#DIV/0!</v>
      </c>
      <c r="K20" s="517">
        <f t="shared" si="7"/>
        <v>0</v>
      </c>
    </row>
    <row r="21" spans="1:11" ht="12.75" customHeight="1" x14ac:dyDescent="0.25">
      <c r="A21" s="694" t="s">
        <v>1262</v>
      </c>
      <c r="B21" s="142"/>
      <c r="C21" s="526">
        <v>0</v>
      </c>
      <c r="D21" s="328">
        <v>0</v>
      </c>
      <c r="E21" s="329">
        <v>0</v>
      </c>
      <c r="F21" s="329">
        <v>780528.91</v>
      </c>
      <c r="G21" s="329">
        <v>4670376.28</v>
      </c>
      <c r="H21" s="329">
        <f t="shared" si="6"/>
        <v>0</v>
      </c>
      <c r="I21" s="221">
        <f t="shared" si="1"/>
        <v>-4670376.28</v>
      </c>
      <c r="J21" s="829" t="e">
        <f t="shared" si="2"/>
        <v>#DIV/0!</v>
      </c>
      <c r="K21" s="517">
        <f t="shared" si="7"/>
        <v>0</v>
      </c>
    </row>
    <row r="22" spans="1:11" ht="12.75" customHeight="1" x14ac:dyDescent="0.25">
      <c r="A22" s="694" t="s">
        <v>1263</v>
      </c>
      <c r="B22" s="142"/>
      <c r="C22" s="526">
        <v>2934562.7183561935</v>
      </c>
      <c r="D22" s="328">
        <v>2978081.4008549107</v>
      </c>
      <c r="E22" s="329">
        <v>2978081.4008549107</v>
      </c>
      <c r="F22" s="329">
        <v>0</v>
      </c>
      <c r="G22" s="329">
        <v>0</v>
      </c>
      <c r="H22" s="329">
        <f t="shared" si="6"/>
        <v>2978081.4008549107</v>
      </c>
      <c r="I22" s="221">
        <f t="shared" si="1"/>
        <v>2978081.4008549107</v>
      </c>
      <c r="J22" s="829">
        <f t="shared" si="2"/>
        <v>1</v>
      </c>
      <c r="K22" s="517">
        <f t="shared" si="7"/>
        <v>2978081.4008549107</v>
      </c>
    </row>
    <row r="23" spans="1:11" ht="12.75" customHeight="1" x14ac:dyDescent="0.25">
      <c r="A23" s="694" t="s">
        <v>1264</v>
      </c>
      <c r="B23" s="142"/>
      <c r="C23" s="526">
        <v>0</v>
      </c>
      <c r="D23" s="328">
        <v>0</v>
      </c>
      <c r="E23" s="329">
        <v>0</v>
      </c>
      <c r="F23" s="329">
        <v>0</v>
      </c>
      <c r="G23" s="329">
        <v>0</v>
      </c>
      <c r="H23" s="329">
        <f t="shared" si="6"/>
        <v>0</v>
      </c>
      <c r="I23" s="221">
        <f t="shared" si="1"/>
        <v>0</v>
      </c>
      <c r="J23" s="829" t="str">
        <f t="shared" si="2"/>
        <v/>
      </c>
      <c r="K23" s="517">
        <f t="shared" si="7"/>
        <v>0</v>
      </c>
    </row>
    <row r="24" spans="1:11" ht="12.75" customHeight="1" x14ac:dyDescent="0.25">
      <c r="A24" s="694" t="s">
        <v>1265</v>
      </c>
      <c r="B24" s="142"/>
      <c r="C24" s="526">
        <v>1163119.3882872432</v>
      </c>
      <c r="D24" s="328">
        <v>1180368.0989896434</v>
      </c>
      <c r="E24" s="329">
        <v>1180368.0989896434</v>
      </c>
      <c r="F24" s="329">
        <v>0</v>
      </c>
      <c r="G24" s="329">
        <v>0</v>
      </c>
      <c r="H24" s="329">
        <f t="shared" si="6"/>
        <v>1180368.0989896434</v>
      </c>
      <c r="I24" s="221">
        <f t="shared" si="1"/>
        <v>1180368.0989896434</v>
      </c>
      <c r="J24" s="829">
        <f t="shared" si="2"/>
        <v>1</v>
      </c>
      <c r="K24" s="517">
        <f t="shared" si="7"/>
        <v>1180368.0989896434</v>
      </c>
    </row>
    <row r="25" spans="1:11" ht="12.75" customHeight="1" x14ac:dyDescent="0.25">
      <c r="A25" s="694" t="s">
        <v>1266</v>
      </c>
      <c r="B25" s="142"/>
      <c r="C25" s="526">
        <v>0</v>
      </c>
      <c r="D25" s="328">
        <v>0</v>
      </c>
      <c r="E25" s="329">
        <v>0</v>
      </c>
      <c r="F25" s="329">
        <v>775682.92</v>
      </c>
      <c r="G25" s="329">
        <v>4641257.25</v>
      </c>
      <c r="H25" s="329">
        <f t="shared" si="6"/>
        <v>0</v>
      </c>
      <c r="I25" s="221">
        <f t="shared" si="1"/>
        <v>-4641257.25</v>
      </c>
      <c r="J25" s="829" t="e">
        <f t="shared" si="2"/>
        <v>#DIV/0!</v>
      </c>
      <c r="K25" s="517">
        <f t="shared" si="7"/>
        <v>0</v>
      </c>
    </row>
    <row r="26" spans="1:11" ht="12.75" customHeight="1" x14ac:dyDescent="0.25">
      <c r="A26" s="694" t="s">
        <v>1253</v>
      </c>
      <c r="B26" s="142"/>
      <c r="C26" s="526">
        <v>8736258.6772758607</v>
      </c>
      <c r="D26" s="328">
        <v>8865814.7658967897</v>
      </c>
      <c r="E26" s="329">
        <v>8865814.7658967897</v>
      </c>
      <c r="F26" s="329">
        <v>1769.76</v>
      </c>
      <c r="G26" s="329">
        <v>10589.55</v>
      </c>
      <c r="H26" s="329">
        <f t="shared" si="6"/>
        <v>8865814.7658967897</v>
      </c>
      <c r="I26" s="221">
        <f t="shared" si="1"/>
        <v>8855225.215896789</v>
      </c>
      <c r="J26" s="829">
        <f t="shared" si="2"/>
        <v>0.99880557509043222</v>
      </c>
      <c r="K26" s="517">
        <f t="shared" si="7"/>
        <v>8865814.7658967897</v>
      </c>
    </row>
    <row r="27" spans="1:11" ht="12.75" customHeight="1" x14ac:dyDescent="0.25">
      <c r="A27" s="828" t="s">
        <v>1267</v>
      </c>
      <c r="B27" s="142"/>
      <c r="C27" s="111">
        <f t="shared" ref="C27:H27" si="8">SUM(C28:C37)</f>
        <v>11696799.975800611</v>
      </c>
      <c r="D27" s="43">
        <f t="shared" si="8"/>
        <v>11870260.001450703</v>
      </c>
      <c r="E27" s="41">
        <f t="shared" si="8"/>
        <v>11870260.001450703</v>
      </c>
      <c r="F27" s="41">
        <f t="shared" si="8"/>
        <v>2097691.9</v>
      </c>
      <c r="G27" s="41">
        <f t="shared" si="8"/>
        <v>13082089.309999999</v>
      </c>
      <c r="H27" s="41">
        <f t="shared" si="8"/>
        <v>11870260.001450703</v>
      </c>
      <c r="I27" s="221">
        <f t="shared" si="1"/>
        <v>-1211829.3085492961</v>
      </c>
      <c r="J27" s="829">
        <f t="shared" si="2"/>
        <v>-0.10208953370871358</v>
      </c>
      <c r="K27" s="119">
        <f>SUM(K28:K37)</f>
        <v>11870260.001450703</v>
      </c>
    </row>
    <row r="28" spans="1:11" ht="12.75" customHeight="1" x14ac:dyDescent="0.25">
      <c r="A28" s="694" t="s">
        <v>1268</v>
      </c>
      <c r="B28" s="142"/>
      <c r="C28" s="526">
        <v>1511640.6165962354</v>
      </c>
      <c r="D28" s="328">
        <v>1534057.7922913819</v>
      </c>
      <c r="E28" s="329">
        <v>1534057.7922913819</v>
      </c>
      <c r="F28" s="329">
        <v>259320.71</v>
      </c>
      <c r="G28" s="329">
        <v>1551672.5899999999</v>
      </c>
      <c r="H28" s="329">
        <f t="shared" ref="H28:H37" si="9">E28/12*$L$1</f>
        <v>1534057.7922913819</v>
      </c>
      <c r="I28" s="221">
        <f t="shared" si="1"/>
        <v>-17614.797708617989</v>
      </c>
      <c r="J28" s="829">
        <f t="shared" si="2"/>
        <v>-1.1482486381629227E-2</v>
      </c>
      <c r="K28" s="517">
        <f t="shared" ref="K28:K37" si="10">E28</f>
        <v>1534057.7922913819</v>
      </c>
    </row>
    <row r="29" spans="1:11" ht="12.75" customHeight="1" x14ac:dyDescent="0.25">
      <c r="A29" s="694" t="s">
        <v>1269</v>
      </c>
      <c r="B29" s="142"/>
      <c r="C29" s="526">
        <v>0</v>
      </c>
      <c r="D29" s="328">
        <v>0</v>
      </c>
      <c r="E29" s="329">
        <v>0</v>
      </c>
      <c r="F29" s="329">
        <v>0</v>
      </c>
      <c r="G29" s="329">
        <v>0</v>
      </c>
      <c r="H29" s="329">
        <f t="shared" si="9"/>
        <v>0</v>
      </c>
      <c r="I29" s="221">
        <f t="shared" si="1"/>
        <v>0</v>
      </c>
      <c r="J29" s="829" t="str">
        <f t="shared" si="2"/>
        <v/>
      </c>
      <c r="K29" s="517">
        <f t="shared" si="10"/>
        <v>0</v>
      </c>
    </row>
    <row r="30" spans="1:11" ht="12.75" customHeight="1" x14ac:dyDescent="0.25">
      <c r="A30" s="694" t="s">
        <v>1270</v>
      </c>
      <c r="B30" s="142"/>
      <c r="C30" s="526">
        <v>897544.17331538117</v>
      </c>
      <c r="D30" s="328">
        <v>910854.48345554597</v>
      </c>
      <c r="E30" s="329">
        <v>910854.48345554597</v>
      </c>
      <c r="F30" s="329">
        <v>235493.29</v>
      </c>
      <c r="G30" s="329">
        <v>1409074.38</v>
      </c>
      <c r="H30" s="329">
        <f t="shared" si="9"/>
        <v>910854.48345554597</v>
      </c>
      <c r="I30" s="221">
        <f t="shared" si="1"/>
        <v>-498219.89654445392</v>
      </c>
      <c r="J30" s="829">
        <f t="shared" si="2"/>
        <v>-0.54698078078765855</v>
      </c>
      <c r="K30" s="517">
        <f t="shared" si="10"/>
        <v>910854.48345554597</v>
      </c>
    </row>
    <row r="31" spans="1:11" ht="12.75" customHeight="1" x14ac:dyDescent="0.25">
      <c r="A31" s="694" t="s">
        <v>1271</v>
      </c>
      <c r="B31" s="142"/>
      <c r="C31" s="526">
        <v>315859.32610128017</v>
      </c>
      <c r="D31" s="328">
        <v>320543.42490785138</v>
      </c>
      <c r="E31" s="329">
        <v>320543.42490785138</v>
      </c>
      <c r="F31" s="329">
        <v>46732.73</v>
      </c>
      <c r="G31" s="329">
        <v>279630.14999999997</v>
      </c>
      <c r="H31" s="329">
        <f t="shared" si="9"/>
        <v>320543.42490785138</v>
      </c>
      <c r="I31" s="221">
        <f t="shared" si="1"/>
        <v>40913.274907851417</v>
      </c>
      <c r="J31" s="829">
        <f t="shared" si="2"/>
        <v>0.12763723018063156</v>
      </c>
      <c r="K31" s="517">
        <f t="shared" si="10"/>
        <v>320543.42490785138</v>
      </c>
    </row>
    <row r="32" spans="1:11" ht="12.75" customHeight="1" x14ac:dyDescent="0.25">
      <c r="A32" s="694" t="s">
        <v>1272</v>
      </c>
      <c r="B32" s="142"/>
      <c r="C32" s="526">
        <v>1258204.3921813502</v>
      </c>
      <c r="D32" s="328">
        <v>1276863.1848932346</v>
      </c>
      <c r="E32" s="329">
        <v>1276863.1848932346</v>
      </c>
      <c r="F32" s="329">
        <v>60139.3</v>
      </c>
      <c r="G32" s="329">
        <v>563314.33000000007</v>
      </c>
      <c r="H32" s="329">
        <f t="shared" si="9"/>
        <v>1276863.1848932346</v>
      </c>
      <c r="I32" s="221">
        <f t="shared" si="1"/>
        <v>713548.85489323456</v>
      </c>
      <c r="J32" s="829">
        <f t="shared" si="2"/>
        <v>0.55882953110038813</v>
      </c>
      <c r="K32" s="517">
        <f t="shared" si="10"/>
        <v>1276863.1848932346</v>
      </c>
    </row>
    <row r="33" spans="1:11" ht="12.75" customHeight="1" x14ac:dyDescent="0.25">
      <c r="A33" s="694" t="s">
        <v>1273</v>
      </c>
      <c r="B33" s="142"/>
      <c r="C33" s="526">
        <v>0</v>
      </c>
      <c r="D33" s="328">
        <v>0</v>
      </c>
      <c r="E33" s="329">
        <v>0</v>
      </c>
      <c r="F33" s="329">
        <v>0</v>
      </c>
      <c r="G33" s="329">
        <v>0</v>
      </c>
      <c r="H33" s="329">
        <f t="shared" si="9"/>
        <v>0</v>
      </c>
      <c r="I33" s="221">
        <f t="shared" si="1"/>
        <v>0</v>
      </c>
      <c r="J33" s="829" t="str">
        <f t="shared" si="2"/>
        <v/>
      </c>
      <c r="K33" s="517">
        <f t="shared" si="10"/>
        <v>0</v>
      </c>
    </row>
    <row r="34" spans="1:11" ht="12.75" customHeight="1" x14ac:dyDescent="0.25">
      <c r="A34" s="694" t="s">
        <v>1274</v>
      </c>
      <c r="B34" s="142"/>
      <c r="C34" s="526">
        <v>7713551.4676063629</v>
      </c>
      <c r="D34" s="328">
        <v>7827941.1159026893</v>
      </c>
      <c r="E34" s="329">
        <v>7827941.1159026893</v>
      </c>
      <c r="F34" s="329">
        <v>1356555.18</v>
      </c>
      <c r="G34" s="329">
        <v>8312077.3499999987</v>
      </c>
      <c r="H34" s="329">
        <f t="shared" si="9"/>
        <v>7827941.1159026893</v>
      </c>
      <c r="I34" s="221">
        <f t="shared" si="1"/>
        <v>-484136.23409730941</v>
      </c>
      <c r="J34" s="829">
        <f t="shared" si="2"/>
        <v>-6.1847199273608822E-2</v>
      </c>
      <c r="K34" s="517">
        <f t="shared" si="10"/>
        <v>7827941.1159026893</v>
      </c>
    </row>
    <row r="35" spans="1:11" ht="12.75" customHeight="1" x14ac:dyDescent="0.25">
      <c r="A35" s="694" t="s">
        <v>1275</v>
      </c>
      <c r="B35" s="142"/>
      <c r="C35" s="526">
        <v>0</v>
      </c>
      <c r="D35" s="328">
        <v>0</v>
      </c>
      <c r="E35" s="329">
        <v>0</v>
      </c>
      <c r="F35" s="329">
        <v>0</v>
      </c>
      <c r="G35" s="329">
        <v>0</v>
      </c>
      <c r="H35" s="329">
        <f t="shared" si="9"/>
        <v>0</v>
      </c>
      <c r="I35" s="221">
        <f t="shared" si="1"/>
        <v>0</v>
      </c>
      <c r="J35" s="829" t="str">
        <f t="shared" si="2"/>
        <v/>
      </c>
      <c r="K35" s="517">
        <f t="shared" si="10"/>
        <v>0</v>
      </c>
    </row>
    <row r="36" spans="1:11" ht="12.75" customHeight="1" x14ac:dyDescent="0.25">
      <c r="A36" s="694" t="s">
        <v>1276</v>
      </c>
      <c r="B36" s="142"/>
      <c r="C36" s="526">
        <v>0</v>
      </c>
      <c r="D36" s="328">
        <v>0</v>
      </c>
      <c r="E36" s="329">
        <v>0</v>
      </c>
      <c r="F36" s="329">
        <v>0</v>
      </c>
      <c r="G36" s="329">
        <v>0</v>
      </c>
      <c r="H36" s="329">
        <f t="shared" si="9"/>
        <v>0</v>
      </c>
      <c r="I36" s="221">
        <f t="shared" si="1"/>
        <v>0</v>
      </c>
      <c r="J36" s="829" t="str">
        <f t="shared" si="2"/>
        <v/>
      </c>
      <c r="K36" s="517">
        <f t="shared" si="10"/>
        <v>0</v>
      </c>
    </row>
    <row r="37" spans="1:11" ht="12.75" customHeight="1" x14ac:dyDescent="0.25">
      <c r="A37" s="694" t="s">
        <v>1253</v>
      </c>
      <c r="B37" s="142"/>
      <c r="C37" s="526">
        <v>0</v>
      </c>
      <c r="D37" s="328">
        <v>0</v>
      </c>
      <c r="E37" s="329">
        <v>0</v>
      </c>
      <c r="F37" s="329">
        <v>139450.69</v>
      </c>
      <c r="G37" s="329">
        <v>966320.50999999989</v>
      </c>
      <c r="H37" s="329">
        <f t="shared" si="9"/>
        <v>0</v>
      </c>
      <c r="I37" s="221">
        <f t="shared" si="1"/>
        <v>-966320.50999999989</v>
      </c>
      <c r="J37" s="829" t="e">
        <f t="shared" si="2"/>
        <v>#DIV/0!</v>
      </c>
      <c r="K37" s="517">
        <f t="shared" si="10"/>
        <v>0</v>
      </c>
    </row>
    <row r="38" spans="1:11" ht="12.75" customHeight="1" x14ac:dyDescent="0.25">
      <c r="A38" s="828" t="s">
        <v>1277</v>
      </c>
      <c r="B38" s="142"/>
      <c r="C38" s="111">
        <f t="shared" ref="C38:H38" si="11">SUM(C39:C44)</f>
        <v>11623630.105524106</v>
      </c>
      <c r="D38" s="43">
        <f t="shared" si="11"/>
        <v>11796005.044004954</v>
      </c>
      <c r="E38" s="41">
        <f t="shared" si="11"/>
        <v>11796005.044004954</v>
      </c>
      <c r="F38" s="41">
        <f t="shared" si="11"/>
        <v>1501184.28</v>
      </c>
      <c r="G38" s="41">
        <f t="shared" si="11"/>
        <v>10468332.35</v>
      </c>
      <c r="H38" s="41">
        <f t="shared" si="11"/>
        <v>11796005.044004954</v>
      </c>
      <c r="I38" s="221">
        <f t="shared" si="1"/>
        <v>1327672.6940049548</v>
      </c>
      <c r="J38" s="829">
        <f t="shared" si="2"/>
        <v>0.11255274044492831</v>
      </c>
      <c r="K38" s="119">
        <f>SUM(K39:K44)</f>
        <v>11796005.044004954</v>
      </c>
    </row>
    <row r="39" spans="1:11" ht="12.75" customHeight="1" x14ac:dyDescent="0.25">
      <c r="A39" s="694" t="s">
        <v>1278</v>
      </c>
      <c r="B39" s="142"/>
      <c r="C39" s="526">
        <v>19820.936095927827</v>
      </c>
      <c r="D39" s="328">
        <v>20114.874616781533</v>
      </c>
      <c r="E39" s="329">
        <v>20114.874616781533</v>
      </c>
      <c r="F39" s="329">
        <v>3400.2599999999998</v>
      </c>
      <c r="G39" s="329">
        <v>20345.829999999998</v>
      </c>
      <c r="H39" s="329">
        <f t="shared" ref="H39:H44" si="12">E39/12*$L$1</f>
        <v>20114.874616781533</v>
      </c>
      <c r="I39" s="221">
        <f t="shared" si="1"/>
        <v>-230.9553832184647</v>
      </c>
      <c r="J39" s="829">
        <f t="shared" si="2"/>
        <v>-1.1481820673432492E-2</v>
      </c>
      <c r="K39" s="517">
        <f t="shared" ref="K39:K44" si="13">E39</f>
        <v>20114.874616781533</v>
      </c>
    </row>
    <row r="40" spans="1:11" ht="12.75" customHeight="1" x14ac:dyDescent="0.25">
      <c r="A40" s="694" t="s">
        <v>138</v>
      </c>
      <c r="B40" s="142"/>
      <c r="C40" s="526">
        <v>2925762.7828838457</v>
      </c>
      <c r="D40" s="328">
        <v>2969150.9649862228</v>
      </c>
      <c r="E40" s="329">
        <v>2969150.9649862228</v>
      </c>
      <c r="F40" s="329">
        <v>373442</v>
      </c>
      <c r="G40" s="329">
        <v>3720368.39</v>
      </c>
      <c r="H40" s="329">
        <f t="shared" si="12"/>
        <v>2969150.9649862228</v>
      </c>
      <c r="I40" s="221">
        <f t="shared" si="1"/>
        <v>-751217.42501377733</v>
      </c>
      <c r="J40" s="829">
        <f t="shared" si="2"/>
        <v>-0.25300748728256833</v>
      </c>
      <c r="K40" s="517">
        <f t="shared" si="13"/>
        <v>2969150.9649862228</v>
      </c>
    </row>
    <row r="41" spans="1:11" ht="12.75" customHeight="1" x14ac:dyDescent="0.25">
      <c r="A41" s="694" t="s">
        <v>1279</v>
      </c>
      <c r="B41" s="142"/>
      <c r="C41" s="526">
        <v>8573860.9122495428</v>
      </c>
      <c r="D41" s="328">
        <v>8701008.6908587385</v>
      </c>
      <c r="E41" s="329">
        <v>8701008.6908587385</v>
      </c>
      <c r="F41" s="329">
        <v>634895.82999999996</v>
      </c>
      <c r="G41" s="329">
        <v>3798965.61</v>
      </c>
      <c r="H41" s="329">
        <f t="shared" si="12"/>
        <v>8701008.6908587385</v>
      </c>
      <c r="I41" s="221">
        <f t="shared" si="1"/>
        <v>4902043.0808587391</v>
      </c>
      <c r="J41" s="829">
        <f t="shared" si="2"/>
        <v>0.56338790765820235</v>
      </c>
      <c r="K41" s="517">
        <f t="shared" si="13"/>
        <v>8701008.6908587385</v>
      </c>
    </row>
    <row r="42" spans="1:11" ht="12.75" customHeight="1" x14ac:dyDescent="0.25">
      <c r="A42" s="694" t="s">
        <v>1280</v>
      </c>
      <c r="B42" s="142"/>
      <c r="C42" s="526">
        <v>104185.4742947897</v>
      </c>
      <c r="D42" s="328">
        <v>105730.51354321066</v>
      </c>
      <c r="E42" s="329">
        <v>105730.51354321066</v>
      </c>
      <c r="F42" s="329">
        <v>17872.93</v>
      </c>
      <c r="G42" s="329">
        <v>106944.54</v>
      </c>
      <c r="H42" s="329">
        <f t="shared" si="12"/>
        <v>105730.51354321066</v>
      </c>
      <c r="I42" s="221">
        <f t="shared" si="1"/>
        <v>-1214.0264567893319</v>
      </c>
      <c r="J42" s="829">
        <f t="shared" si="2"/>
        <v>-1.1482271447524705E-2</v>
      </c>
      <c r="K42" s="517">
        <f t="shared" si="13"/>
        <v>105730.51354321066</v>
      </c>
    </row>
    <row r="43" spans="1:11" ht="12.75" customHeight="1" x14ac:dyDescent="0.25">
      <c r="A43" s="694" t="s">
        <v>1281</v>
      </c>
      <c r="B43" s="142"/>
      <c r="C43" s="526">
        <v>0</v>
      </c>
      <c r="D43" s="328">
        <v>0</v>
      </c>
      <c r="E43" s="329">
        <v>0</v>
      </c>
      <c r="F43" s="329">
        <v>0</v>
      </c>
      <c r="G43" s="329">
        <v>0</v>
      </c>
      <c r="H43" s="329">
        <f t="shared" si="12"/>
        <v>0</v>
      </c>
      <c r="I43" s="221">
        <f t="shared" si="1"/>
        <v>0</v>
      </c>
      <c r="J43" s="829" t="str">
        <f t="shared" si="2"/>
        <v/>
      </c>
      <c r="K43" s="517">
        <f t="shared" si="13"/>
        <v>0</v>
      </c>
    </row>
    <row r="44" spans="1:11" ht="12.75" customHeight="1" x14ac:dyDescent="0.25">
      <c r="A44" s="694" t="s">
        <v>1253</v>
      </c>
      <c r="B44" s="142"/>
      <c r="C44" s="526">
        <v>0</v>
      </c>
      <c r="D44" s="328">
        <v>0</v>
      </c>
      <c r="E44" s="329">
        <v>0</v>
      </c>
      <c r="F44" s="329">
        <v>471573.26</v>
      </c>
      <c r="G44" s="329">
        <v>2821707.98</v>
      </c>
      <c r="H44" s="329">
        <f t="shared" si="12"/>
        <v>0</v>
      </c>
      <c r="I44" s="221">
        <f t="shared" si="1"/>
        <v>-2821707.98</v>
      </c>
      <c r="J44" s="829" t="e">
        <f t="shared" si="2"/>
        <v>#DIV/0!</v>
      </c>
      <c r="K44" s="517">
        <f t="shared" si="13"/>
        <v>0</v>
      </c>
    </row>
    <row r="45" spans="1:11" ht="12.75" customHeight="1" x14ac:dyDescent="0.25">
      <c r="A45" s="828" t="s">
        <v>1282</v>
      </c>
      <c r="B45" s="142"/>
      <c r="C45" s="111">
        <f t="shared" ref="C45:H45" si="14">SUM(C46:C52)</f>
        <v>10115804.645893125</v>
      </c>
      <c r="D45" s="43">
        <f t="shared" si="14"/>
        <v>10265818.986309152</v>
      </c>
      <c r="E45" s="41">
        <f t="shared" si="14"/>
        <v>10265818.986309152</v>
      </c>
      <c r="F45" s="41">
        <f t="shared" si="14"/>
        <v>628096.82000000007</v>
      </c>
      <c r="G45" s="41">
        <f t="shared" si="14"/>
        <v>3726509.0199999996</v>
      </c>
      <c r="H45" s="41">
        <f t="shared" si="14"/>
        <v>10265818.986309152</v>
      </c>
      <c r="I45" s="221">
        <f t="shared" si="1"/>
        <v>6539309.9663091525</v>
      </c>
      <c r="J45" s="829">
        <f t="shared" si="2"/>
        <v>0.6369983705177541</v>
      </c>
      <c r="K45" s="119">
        <f>SUM(K46:K52)</f>
        <v>10265818.986309152</v>
      </c>
    </row>
    <row r="46" spans="1:11" ht="12.75" customHeight="1" x14ac:dyDescent="0.25">
      <c r="A46" s="694" t="s">
        <v>1283</v>
      </c>
      <c r="B46" s="142"/>
      <c r="C46" s="526">
        <v>8993212.2319516633</v>
      </c>
      <c r="D46" s="328">
        <v>9126578.8645057343</v>
      </c>
      <c r="E46" s="329">
        <v>9126578.8645057343</v>
      </c>
      <c r="F46" s="329">
        <v>393974</v>
      </c>
      <c r="G46" s="329">
        <v>2357384.63</v>
      </c>
      <c r="H46" s="329">
        <f t="shared" ref="H46:H52" si="15">E46/12*$L$1</f>
        <v>9126578.8645057343</v>
      </c>
      <c r="I46" s="221">
        <f t="shared" si="1"/>
        <v>6769194.2345057344</v>
      </c>
      <c r="J46" s="829">
        <f t="shared" si="2"/>
        <v>0.74170117138108271</v>
      </c>
      <c r="K46" s="517">
        <f t="shared" ref="K46:K52" si="16">E46</f>
        <v>9126578.8645057343</v>
      </c>
    </row>
    <row r="47" spans="1:11" ht="12.75" customHeight="1" x14ac:dyDescent="0.25">
      <c r="A47" s="694" t="s">
        <v>1284</v>
      </c>
      <c r="B47" s="142"/>
      <c r="C47" s="526">
        <v>68119.704721147195</v>
      </c>
      <c r="D47" s="328">
        <v>69129.899454121434</v>
      </c>
      <c r="E47" s="329">
        <v>69129.899454121434</v>
      </c>
      <c r="F47" s="329">
        <v>33450.03</v>
      </c>
      <c r="G47" s="329">
        <v>200151.8</v>
      </c>
      <c r="H47" s="329">
        <f t="shared" si="15"/>
        <v>69129.899454121434</v>
      </c>
      <c r="I47" s="221">
        <f t="shared" si="1"/>
        <v>-131021.90054587855</v>
      </c>
      <c r="J47" s="829">
        <f t="shared" si="2"/>
        <v>-1.8953000305292242</v>
      </c>
      <c r="K47" s="517">
        <f t="shared" si="16"/>
        <v>69129.899454121434</v>
      </c>
    </row>
    <row r="48" spans="1:11" ht="12.75" customHeight="1" x14ac:dyDescent="0.25">
      <c r="A48" s="694" t="s">
        <v>1285</v>
      </c>
      <c r="B48" s="142"/>
      <c r="C48" s="526">
        <v>1054472.7092203144</v>
      </c>
      <c r="D48" s="328">
        <v>1070110.2223492982</v>
      </c>
      <c r="E48" s="329">
        <v>1070110.2223492982</v>
      </c>
      <c r="F48" s="329">
        <v>0</v>
      </c>
      <c r="G48" s="329">
        <v>0</v>
      </c>
      <c r="H48" s="329">
        <f t="shared" si="15"/>
        <v>1070110.2223492982</v>
      </c>
      <c r="I48" s="221">
        <f t="shared" si="1"/>
        <v>1070110.2223492982</v>
      </c>
      <c r="J48" s="829">
        <f t="shared" si="2"/>
        <v>1</v>
      </c>
      <c r="K48" s="517">
        <f t="shared" si="16"/>
        <v>1070110.2223492982</v>
      </c>
    </row>
    <row r="49" spans="1:11" ht="12.75" customHeight="1" x14ac:dyDescent="0.25">
      <c r="A49" s="694" t="s">
        <v>1286</v>
      </c>
      <c r="B49" s="142"/>
      <c r="C49" s="526">
        <v>0</v>
      </c>
      <c r="D49" s="328">
        <v>0</v>
      </c>
      <c r="E49" s="329">
        <v>0</v>
      </c>
      <c r="F49" s="329">
        <v>0</v>
      </c>
      <c r="G49" s="329">
        <v>0</v>
      </c>
      <c r="H49" s="329">
        <f t="shared" si="15"/>
        <v>0</v>
      </c>
      <c r="I49" s="221">
        <f t="shared" si="1"/>
        <v>0</v>
      </c>
      <c r="J49" s="829" t="str">
        <f t="shared" si="2"/>
        <v/>
      </c>
      <c r="K49" s="517">
        <f t="shared" si="16"/>
        <v>0</v>
      </c>
    </row>
    <row r="50" spans="1:11" ht="12.75" customHeight="1" x14ac:dyDescent="0.25">
      <c r="A50" s="694" t="s">
        <v>1287</v>
      </c>
      <c r="B50" s="142"/>
      <c r="C50" s="526">
        <v>0</v>
      </c>
      <c r="D50" s="328">
        <v>0</v>
      </c>
      <c r="E50" s="329">
        <v>0</v>
      </c>
      <c r="F50" s="329">
        <v>0</v>
      </c>
      <c r="G50" s="329">
        <v>0</v>
      </c>
      <c r="H50" s="329">
        <f t="shared" si="15"/>
        <v>0</v>
      </c>
      <c r="I50" s="221">
        <f t="shared" si="1"/>
        <v>0</v>
      </c>
      <c r="J50" s="829" t="str">
        <f t="shared" si="2"/>
        <v/>
      </c>
      <c r="K50" s="517">
        <f t="shared" si="16"/>
        <v>0</v>
      </c>
    </row>
    <row r="51" spans="1:11" ht="12.75" customHeight="1" x14ac:dyDescent="0.25">
      <c r="A51" s="694" t="s">
        <v>1288</v>
      </c>
      <c r="B51" s="142"/>
      <c r="C51" s="526">
        <v>0</v>
      </c>
      <c r="D51" s="328">
        <v>0</v>
      </c>
      <c r="E51" s="329">
        <v>0</v>
      </c>
      <c r="F51" s="329">
        <v>0</v>
      </c>
      <c r="G51" s="329">
        <v>0</v>
      </c>
      <c r="H51" s="329">
        <f t="shared" si="15"/>
        <v>0</v>
      </c>
      <c r="I51" s="221">
        <f t="shared" si="1"/>
        <v>0</v>
      </c>
      <c r="J51" s="829" t="str">
        <f t="shared" si="2"/>
        <v/>
      </c>
      <c r="K51" s="517">
        <f t="shared" si="16"/>
        <v>0</v>
      </c>
    </row>
    <row r="52" spans="1:11" ht="12.75" customHeight="1" x14ac:dyDescent="0.25">
      <c r="A52" s="694" t="s">
        <v>1253</v>
      </c>
      <c r="B52" s="142"/>
      <c r="C52" s="526">
        <v>0</v>
      </c>
      <c r="D52" s="328">
        <v>0</v>
      </c>
      <c r="E52" s="329">
        <v>0</v>
      </c>
      <c r="F52" s="329">
        <v>200672.79</v>
      </c>
      <c r="G52" s="329">
        <v>1168972.5899999999</v>
      </c>
      <c r="H52" s="329">
        <f t="shared" si="15"/>
        <v>0</v>
      </c>
      <c r="I52" s="221">
        <f t="shared" si="1"/>
        <v>-1168972.5899999999</v>
      </c>
      <c r="J52" s="829" t="e">
        <f t="shared" si="2"/>
        <v>#DIV/0!</v>
      </c>
      <c r="K52" s="517">
        <f t="shared" si="16"/>
        <v>0</v>
      </c>
    </row>
    <row r="53" spans="1:11" ht="12.75" customHeight="1" x14ac:dyDescent="0.25">
      <c r="A53" s="828" t="s">
        <v>1289</v>
      </c>
      <c r="B53" s="142"/>
      <c r="C53" s="111">
        <f t="shared" ref="C53:H53" si="17">SUM(C54:C62)</f>
        <v>0</v>
      </c>
      <c r="D53" s="43">
        <f t="shared" si="17"/>
        <v>0</v>
      </c>
      <c r="E53" s="41">
        <f t="shared" si="17"/>
        <v>0</v>
      </c>
      <c r="F53" s="41">
        <f t="shared" si="17"/>
        <v>199222.65000000002</v>
      </c>
      <c r="G53" s="41">
        <f t="shared" si="17"/>
        <v>1192069.5799999998</v>
      </c>
      <c r="H53" s="41">
        <f t="shared" si="17"/>
        <v>0</v>
      </c>
      <c r="I53" s="221">
        <f t="shared" si="1"/>
        <v>-1192069.5799999998</v>
      </c>
      <c r="J53" s="829" t="e">
        <f t="shared" si="2"/>
        <v>#DIV/0!</v>
      </c>
      <c r="K53" s="119">
        <f>SUM(K54:K62)</f>
        <v>0</v>
      </c>
    </row>
    <row r="54" spans="1:11" ht="12.75" customHeight="1" x14ac:dyDescent="0.25">
      <c r="A54" s="694" t="s">
        <v>1290</v>
      </c>
      <c r="B54" s="142"/>
      <c r="C54" s="526">
        <v>0</v>
      </c>
      <c r="D54" s="328">
        <v>0</v>
      </c>
      <c r="E54" s="329">
        <v>0</v>
      </c>
      <c r="F54" s="329">
        <v>0</v>
      </c>
      <c r="G54" s="329">
        <v>0</v>
      </c>
      <c r="H54" s="329">
        <f t="shared" ref="H54:H62" si="18">E54/12*$L$1</f>
        <v>0</v>
      </c>
      <c r="I54" s="221">
        <f t="shared" si="1"/>
        <v>0</v>
      </c>
      <c r="J54" s="829" t="str">
        <f t="shared" si="2"/>
        <v/>
      </c>
      <c r="K54" s="517">
        <f t="shared" ref="K54:K62" si="19">E54</f>
        <v>0</v>
      </c>
    </row>
    <row r="55" spans="1:11" ht="12.75" customHeight="1" x14ac:dyDescent="0.25">
      <c r="A55" s="694" t="s">
        <v>1291</v>
      </c>
      <c r="B55" s="142"/>
      <c r="C55" s="526">
        <v>0</v>
      </c>
      <c r="D55" s="328">
        <v>0</v>
      </c>
      <c r="E55" s="329">
        <v>0</v>
      </c>
      <c r="F55" s="329">
        <v>0</v>
      </c>
      <c r="G55" s="329">
        <v>0</v>
      </c>
      <c r="H55" s="329">
        <f t="shared" si="18"/>
        <v>0</v>
      </c>
      <c r="I55" s="221">
        <f t="shared" si="1"/>
        <v>0</v>
      </c>
      <c r="J55" s="829" t="str">
        <f t="shared" si="2"/>
        <v/>
      </c>
      <c r="K55" s="517">
        <f t="shared" si="19"/>
        <v>0</v>
      </c>
    </row>
    <row r="56" spans="1:11" ht="12.75" customHeight="1" x14ac:dyDescent="0.25">
      <c r="A56" s="694" t="s">
        <v>1292</v>
      </c>
      <c r="B56" s="142"/>
      <c r="C56" s="526">
        <v>0</v>
      </c>
      <c r="D56" s="328">
        <v>0</v>
      </c>
      <c r="E56" s="329">
        <v>0</v>
      </c>
      <c r="F56" s="329">
        <v>0</v>
      </c>
      <c r="G56" s="329">
        <v>0</v>
      </c>
      <c r="H56" s="329">
        <f t="shared" si="18"/>
        <v>0</v>
      </c>
      <c r="I56" s="221">
        <f t="shared" si="1"/>
        <v>0</v>
      </c>
      <c r="J56" s="829" t="str">
        <f t="shared" si="2"/>
        <v/>
      </c>
      <c r="K56" s="517">
        <f t="shared" si="19"/>
        <v>0</v>
      </c>
    </row>
    <row r="57" spans="1:11" ht="12.75" customHeight="1" x14ac:dyDescent="0.25">
      <c r="A57" s="694" t="s">
        <v>1255</v>
      </c>
      <c r="B57" s="142"/>
      <c r="C57" s="526">
        <v>0</v>
      </c>
      <c r="D57" s="328">
        <v>0</v>
      </c>
      <c r="E57" s="329">
        <v>0</v>
      </c>
      <c r="F57" s="329">
        <v>2320.9699999999998</v>
      </c>
      <c r="G57" s="329">
        <v>13887.76</v>
      </c>
      <c r="H57" s="329">
        <f t="shared" si="18"/>
        <v>0</v>
      </c>
      <c r="I57" s="221">
        <f t="shared" si="1"/>
        <v>-13887.76</v>
      </c>
      <c r="J57" s="829" t="e">
        <f t="shared" si="2"/>
        <v>#DIV/0!</v>
      </c>
      <c r="K57" s="517">
        <f t="shared" si="19"/>
        <v>0</v>
      </c>
    </row>
    <row r="58" spans="1:11" ht="12.75" customHeight="1" x14ac:dyDescent="0.25">
      <c r="A58" s="694" t="s">
        <v>1256</v>
      </c>
      <c r="B58" s="142"/>
      <c r="C58" s="526">
        <v>0</v>
      </c>
      <c r="D58" s="328">
        <v>0</v>
      </c>
      <c r="E58" s="329">
        <v>0</v>
      </c>
      <c r="F58" s="329">
        <v>177244.6</v>
      </c>
      <c r="G58" s="329">
        <v>1060561.6299999999</v>
      </c>
      <c r="H58" s="329">
        <f t="shared" si="18"/>
        <v>0</v>
      </c>
      <c r="I58" s="221">
        <f t="shared" si="1"/>
        <v>-1060561.6299999999</v>
      </c>
      <c r="J58" s="829" t="e">
        <f t="shared" si="2"/>
        <v>#DIV/0!</v>
      </c>
      <c r="K58" s="517">
        <f t="shared" si="19"/>
        <v>0</v>
      </c>
    </row>
    <row r="59" spans="1:11" ht="12.75" customHeight="1" x14ac:dyDescent="0.25">
      <c r="A59" s="694" t="s">
        <v>1257</v>
      </c>
      <c r="B59" s="142"/>
      <c r="C59" s="526">
        <v>0</v>
      </c>
      <c r="D59" s="328">
        <v>0</v>
      </c>
      <c r="E59" s="329">
        <v>0</v>
      </c>
      <c r="F59" s="329">
        <v>19657.080000000002</v>
      </c>
      <c r="G59" s="329">
        <v>117620.19</v>
      </c>
      <c r="H59" s="329">
        <f t="shared" si="18"/>
        <v>0</v>
      </c>
      <c r="I59" s="221">
        <f t="shared" si="1"/>
        <v>-117620.19</v>
      </c>
      <c r="J59" s="829" t="e">
        <f t="shared" si="2"/>
        <v>#DIV/0!</v>
      </c>
      <c r="K59" s="517">
        <f t="shared" si="19"/>
        <v>0</v>
      </c>
    </row>
    <row r="60" spans="1:11" ht="12.75" customHeight="1" x14ac:dyDescent="0.25">
      <c r="A60" s="694" t="s">
        <v>1263</v>
      </c>
      <c r="B60" s="142"/>
      <c r="C60" s="526">
        <v>0</v>
      </c>
      <c r="D60" s="328">
        <v>0</v>
      </c>
      <c r="E60" s="329">
        <v>0</v>
      </c>
      <c r="F60" s="329">
        <v>0</v>
      </c>
      <c r="G60" s="329">
        <v>0</v>
      </c>
      <c r="H60" s="329">
        <f t="shared" si="18"/>
        <v>0</v>
      </c>
      <c r="I60" s="221">
        <f t="shared" si="1"/>
        <v>0</v>
      </c>
      <c r="J60" s="829" t="str">
        <f t="shared" si="2"/>
        <v/>
      </c>
      <c r="K60" s="517">
        <f t="shared" si="19"/>
        <v>0</v>
      </c>
    </row>
    <row r="61" spans="1:11" ht="12.75" customHeight="1" x14ac:dyDescent="0.25">
      <c r="A61" s="694" t="s">
        <v>1266</v>
      </c>
      <c r="B61" s="142"/>
      <c r="C61" s="526">
        <v>0</v>
      </c>
      <c r="D61" s="328">
        <v>0</v>
      </c>
      <c r="E61" s="329">
        <v>0</v>
      </c>
      <c r="F61" s="329">
        <v>0</v>
      </c>
      <c r="G61" s="329">
        <v>0</v>
      </c>
      <c r="H61" s="329">
        <f t="shared" si="18"/>
        <v>0</v>
      </c>
      <c r="I61" s="221">
        <f t="shared" si="1"/>
        <v>0</v>
      </c>
      <c r="J61" s="829" t="str">
        <f t="shared" si="2"/>
        <v/>
      </c>
      <c r="K61" s="517">
        <f t="shared" si="19"/>
        <v>0</v>
      </c>
    </row>
    <row r="62" spans="1:11" ht="12.75" customHeight="1" x14ac:dyDescent="0.25">
      <c r="A62" s="694" t="s">
        <v>1253</v>
      </c>
      <c r="B62" s="142"/>
      <c r="C62" s="526">
        <v>0</v>
      </c>
      <c r="D62" s="328">
        <v>0</v>
      </c>
      <c r="E62" s="329">
        <v>0</v>
      </c>
      <c r="F62" s="329">
        <v>0</v>
      </c>
      <c r="G62" s="329">
        <v>0</v>
      </c>
      <c r="H62" s="329">
        <f t="shared" si="18"/>
        <v>0</v>
      </c>
      <c r="I62" s="221">
        <f t="shared" si="1"/>
        <v>0</v>
      </c>
      <c r="J62" s="829" t="str">
        <f t="shared" si="2"/>
        <v/>
      </c>
      <c r="K62" s="517">
        <f t="shared" si="19"/>
        <v>0</v>
      </c>
    </row>
    <row r="63" spans="1:11" ht="12.75" customHeight="1" x14ac:dyDescent="0.25">
      <c r="A63" s="828" t="s">
        <v>1293</v>
      </c>
      <c r="B63" s="142"/>
      <c r="C63" s="111">
        <f t="shared" ref="C63:H63" si="20">SUM(C64:C68)</f>
        <v>0</v>
      </c>
      <c r="D63" s="43">
        <f t="shared" si="20"/>
        <v>0</v>
      </c>
      <c r="E63" s="41">
        <f t="shared" si="20"/>
        <v>0</v>
      </c>
      <c r="F63" s="41">
        <f t="shared" si="20"/>
        <v>0</v>
      </c>
      <c r="G63" s="41">
        <f t="shared" si="20"/>
        <v>0</v>
      </c>
      <c r="H63" s="41">
        <f t="shared" si="20"/>
        <v>0</v>
      </c>
      <c r="I63" s="221">
        <f t="shared" si="1"/>
        <v>0</v>
      </c>
      <c r="J63" s="829" t="str">
        <f t="shared" si="2"/>
        <v/>
      </c>
      <c r="K63" s="119">
        <f>SUM(K64:K68)</f>
        <v>0</v>
      </c>
    </row>
    <row r="64" spans="1:11" ht="12.75" customHeight="1" x14ac:dyDescent="0.25">
      <c r="A64" s="694" t="s">
        <v>1294</v>
      </c>
      <c r="B64" s="142"/>
      <c r="C64" s="526">
        <v>0</v>
      </c>
      <c r="D64" s="328">
        <v>0</v>
      </c>
      <c r="E64" s="329">
        <v>0</v>
      </c>
      <c r="F64" s="329">
        <v>0</v>
      </c>
      <c r="G64" s="329">
        <v>0</v>
      </c>
      <c r="H64" s="329">
        <f>E64/12*$L$1</f>
        <v>0</v>
      </c>
      <c r="I64" s="221">
        <f t="shared" si="1"/>
        <v>0</v>
      </c>
      <c r="J64" s="829" t="str">
        <f t="shared" si="2"/>
        <v/>
      </c>
      <c r="K64" s="517">
        <f>E64</f>
        <v>0</v>
      </c>
    </row>
    <row r="65" spans="1:11" ht="12.75" customHeight="1" x14ac:dyDescent="0.25">
      <c r="A65" s="694" t="s">
        <v>1295</v>
      </c>
      <c r="B65" s="142"/>
      <c r="C65" s="526">
        <v>0</v>
      </c>
      <c r="D65" s="328">
        <v>0</v>
      </c>
      <c r="E65" s="329">
        <v>0</v>
      </c>
      <c r="F65" s="329">
        <v>0</v>
      </c>
      <c r="G65" s="329">
        <v>0</v>
      </c>
      <c r="H65" s="329">
        <f>E65/12*$L$1</f>
        <v>0</v>
      </c>
      <c r="I65" s="221">
        <f t="shared" si="1"/>
        <v>0</v>
      </c>
      <c r="J65" s="829" t="str">
        <f t="shared" si="2"/>
        <v/>
      </c>
      <c r="K65" s="517">
        <f>E65</f>
        <v>0</v>
      </c>
    </row>
    <row r="66" spans="1:11" ht="12.75" customHeight="1" x14ac:dyDescent="0.25">
      <c r="A66" s="694" t="s">
        <v>1296</v>
      </c>
      <c r="B66" s="142"/>
      <c r="C66" s="526">
        <v>0</v>
      </c>
      <c r="D66" s="328">
        <v>0</v>
      </c>
      <c r="E66" s="329">
        <v>0</v>
      </c>
      <c r="F66" s="329">
        <v>0</v>
      </c>
      <c r="G66" s="329">
        <v>0</v>
      </c>
      <c r="H66" s="329">
        <f>E66/12*$L$1</f>
        <v>0</v>
      </c>
      <c r="I66" s="221">
        <f t="shared" si="1"/>
        <v>0</v>
      </c>
      <c r="J66" s="829" t="str">
        <f t="shared" si="2"/>
        <v/>
      </c>
      <c r="K66" s="517">
        <f>E66</f>
        <v>0</v>
      </c>
    </row>
    <row r="67" spans="1:11" ht="12.75" customHeight="1" x14ac:dyDescent="0.25">
      <c r="A67" s="694" t="s">
        <v>1297</v>
      </c>
      <c r="B67" s="142"/>
      <c r="C67" s="526">
        <v>0</v>
      </c>
      <c r="D67" s="328">
        <v>0</v>
      </c>
      <c r="E67" s="329">
        <v>0</v>
      </c>
      <c r="F67" s="329">
        <v>0</v>
      </c>
      <c r="G67" s="329">
        <v>0</v>
      </c>
      <c r="H67" s="329">
        <f>E67/12*$L$1</f>
        <v>0</v>
      </c>
      <c r="I67" s="221">
        <f t="shared" si="1"/>
        <v>0</v>
      </c>
      <c r="J67" s="829" t="str">
        <f t="shared" si="2"/>
        <v/>
      </c>
      <c r="K67" s="517">
        <f>E67</f>
        <v>0</v>
      </c>
    </row>
    <row r="68" spans="1:11" ht="12.75" customHeight="1" x14ac:dyDescent="0.25">
      <c r="A68" s="694" t="s">
        <v>1253</v>
      </c>
      <c r="B68" s="142"/>
      <c r="C68" s="526">
        <v>0</v>
      </c>
      <c r="D68" s="328">
        <v>0</v>
      </c>
      <c r="E68" s="329">
        <v>0</v>
      </c>
      <c r="F68" s="329">
        <v>0</v>
      </c>
      <c r="G68" s="329">
        <v>0</v>
      </c>
      <c r="H68" s="329">
        <f>E68/12*$L$1</f>
        <v>0</v>
      </c>
      <c r="I68" s="221">
        <f t="shared" si="1"/>
        <v>0</v>
      </c>
      <c r="J68" s="829" t="str">
        <f t="shared" si="2"/>
        <v/>
      </c>
      <c r="K68" s="517">
        <f>E68</f>
        <v>0</v>
      </c>
    </row>
    <row r="69" spans="1:11" ht="12.75" customHeight="1" x14ac:dyDescent="0.25">
      <c r="A69" s="828" t="s">
        <v>1298</v>
      </c>
      <c r="B69" s="142"/>
      <c r="C69" s="111">
        <f t="shared" ref="C69:H69" si="21">SUM(C70:C73)</f>
        <v>0</v>
      </c>
      <c r="D69" s="43">
        <f t="shared" si="21"/>
        <v>0</v>
      </c>
      <c r="E69" s="41">
        <f t="shared" si="21"/>
        <v>0</v>
      </c>
      <c r="F69" s="41">
        <f t="shared" si="21"/>
        <v>32697.13</v>
      </c>
      <c r="G69" s="41">
        <f t="shared" si="21"/>
        <v>195646.68000000002</v>
      </c>
      <c r="H69" s="41">
        <f t="shared" si="21"/>
        <v>0</v>
      </c>
      <c r="I69" s="221">
        <f t="shared" si="1"/>
        <v>-195646.68000000002</v>
      </c>
      <c r="J69" s="829" t="e">
        <f t="shared" si="2"/>
        <v>#DIV/0!</v>
      </c>
      <c r="K69" s="119">
        <f>SUM(K70:K73)</f>
        <v>0</v>
      </c>
    </row>
    <row r="70" spans="1:11" ht="12.75" customHeight="1" x14ac:dyDescent="0.25">
      <c r="A70" s="694" t="s">
        <v>1299</v>
      </c>
      <c r="B70" s="142"/>
      <c r="C70" s="526">
        <v>0</v>
      </c>
      <c r="D70" s="328">
        <v>0</v>
      </c>
      <c r="E70" s="329">
        <v>0</v>
      </c>
      <c r="F70" s="329">
        <v>0</v>
      </c>
      <c r="G70" s="329">
        <v>0</v>
      </c>
      <c r="H70" s="329">
        <f>E70/12*$L$1</f>
        <v>0</v>
      </c>
      <c r="I70" s="221">
        <f t="shared" si="1"/>
        <v>0</v>
      </c>
      <c r="J70" s="829" t="str">
        <f t="shared" si="2"/>
        <v/>
      </c>
      <c r="K70" s="517">
        <f>E70</f>
        <v>0</v>
      </c>
    </row>
    <row r="71" spans="1:11" ht="12.75" customHeight="1" x14ac:dyDescent="0.25">
      <c r="A71" s="694" t="s">
        <v>1300</v>
      </c>
      <c r="B71" s="142"/>
      <c r="C71" s="526">
        <v>0</v>
      </c>
      <c r="D71" s="328">
        <v>0</v>
      </c>
      <c r="E71" s="329">
        <v>0</v>
      </c>
      <c r="F71" s="329">
        <v>0</v>
      </c>
      <c r="G71" s="329">
        <v>0</v>
      </c>
      <c r="H71" s="329">
        <f>E71/12*$L$1</f>
        <v>0</v>
      </c>
      <c r="I71" s="221">
        <f t="shared" si="1"/>
        <v>0</v>
      </c>
      <c r="J71" s="829" t="str">
        <f t="shared" si="2"/>
        <v/>
      </c>
      <c r="K71" s="517">
        <f>E71</f>
        <v>0</v>
      </c>
    </row>
    <row r="72" spans="1:11" ht="12.75" customHeight="1" x14ac:dyDescent="0.25">
      <c r="A72" s="694" t="s">
        <v>1301</v>
      </c>
      <c r="B72" s="142"/>
      <c r="C72" s="526">
        <v>0</v>
      </c>
      <c r="D72" s="328">
        <v>0</v>
      </c>
      <c r="E72" s="329">
        <v>0</v>
      </c>
      <c r="F72" s="329">
        <v>885.05</v>
      </c>
      <c r="G72" s="329">
        <v>5295.79</v>
      </c>
      <c r="H72" s="329">
        <f>E72/12*$L$1</f>
        <v>0</v>
      </c>
      <c r="I72" s="221">
        <f t="shared" si="1"/>
        <v>-5295.79</v>
      </c>
      <c r="J72" s="829" t="e">
        <f t="shared" si="2"/>
        <v>#DIV/0!</v>
      </c>
      <c r="K72" s="517">
        <f>E72</f>
        <v>0</v>
      </c>
    </row>
    <row r="73" spans="1:11" ht="12.75" customHeight="1" x14ac:dyDescent="0.25">
      <c r="A73" s="694" t="s">
        <v>1253</v>
      </c>
      <c r="B73" s="142"/>
      <c r="C73" s="526">
        <v>0</v>
      </c>
      <c r="D73" s="328">
        <v>0</v>
      </c>
      <c r="E73" s="329">
        <v>0</v>
      </c>
      <c r="F73" s="329">
        <v>31812.080000000002</v>
      </c>
      <c r="G73" s="329">
        <v>190350.89</v>
      </c>
      <c r="H73" s="329">
        <f>E73/12*$L$1</f>
        <v>0</v>
      </c>
      <c r="I73" s="221">
        <f t="shared" si="1"/>
        <v>-190350.89</v>
      </c>
      <c r="J73" s="829" t="e">
        <f t="shared" si="2"/>
        <v>#DIV/0!</v>
      </c>
      <c r="K73" s="517">
        <f>E73</f>
        <v>0</v>
      </c>
    </row>
    <row r="74" spans="1:11" ht="5.25" customHeight="1" x14ac:dyDescent="0.25">
      <c r="A74" s="694"/>
      <c r="B74" s="142"/>
      <c r="C74" s="111"/>
      <c r="D74" s="43"/>
      <c r="E74" s="41"/>
      <c r="F74" s="41"/>
      <c r="G74" s="41"/>
      <c r="H74" s="41"/>
      <c r="I74" s="221"/>
      <c r="J74" s="829" t="str">
        <f t="shared" si="2"/>
        <v/>
      </c>
      <c r="K74" s="119"/>
    </row>
    <row r="75" spans="1:11" ht="12.75" customHeight="1" x14ac:dyDescent="0.25">
      <c r="A75" s="32" t="s">
        <v>1322</v>
      </c>
      <c r="B75" s="142"/>
      <c r="C75" s="472">
        <f t="shared" ref="C75:H75" si="22">+C76+C99</f>
        <v>2367268.7694299752</v>
      </c>
      <c r="D75" s="830">
        <f>D76+D99</f>
        <v>2402374.6532884259</v>
      </c>
      <c r="E75" s="474">
        <f>E76+E99</f>
        <v>2402374.6532884259</v>
      </c>
      <c r="F75" s="474">
        <f t="shared" si="22"/>
        <v>451628.38</v>
      </c>
      <c r="G75" s="474">
        <f t="shared" si="22"/>
        <v>2325010.4500000002</v>
      </c>
      <c r="H75" s="474">
        <f t="shared" si="22"/>
        <v>2402374.6532884259</v>
      </c>
      <c r="I75" s="474">
        <f t="shared" si="1"/>
        <v>77364.203288425691</v>
      </c>
      <c r="J75" s="827">
        <f t="shared" si="2"/>
        <v>3.2203221584330234E-2</v>
      </c>
      <c r="K75" s="476">
        <f>+K76+K99</f>
        <v>2402374.6532884259</v>
      </c>
    </row>
    <row r="76" spans="1:11" ht="12.75" customHeight="1" x14ac:dyDescent="0.25">
      <c r="A76" s="828" t="s">
        <v>1302</v>
      </c>
      <c r="B76" s="142"/>
      <c r="C76" s="111">
        <f t="shared" ref="C76:H76" si="23">SUM(C77:C98)</f>
        <v>1400788.5079878015</v>
      </c>
      <c r="D76" s="43">
        <f t="shared" si="23"/>
        <v>1421561.7802527475</v>
      </c>
      <c r="E76" s="41">
        <f t="shared" si="23"/>
        <v>1421561.7802527475</v>
      </c>
      <c r="F76" s="41">
        <f t="shared" si="23"/>
        <v>225422.71999999997</v>
      </c>
      <c r="G76" s="41">
        <f t="shared" si="23"/>
        <v>1348840.42</v>
      </c>
      <c r="H76" s="41">
        <f t="shared" si="23"/>
        <v>1421561.7802527475</v>
      </c>
      <c r="I76" s="221">
        <f t="shared" si="1"/>
        <v>72721.360252747545</v>
      </c>
      <c r="J76" s="829">
        <f t="shared" si="2"/>
        <v>5.1155961888492814E-2</v>
      </c>
      <c r="K76" s="119">
        <f>SUM(K77:K98)</f>
        <v>1421561.7802527475</v>
      </c>
    </row>
    <row r="77" spans="1:11" ht="12.75" customHeight="1" x14ac:dyDescent="0.25">
      <c r="A77" s="694" t="s">
        <v>1303</v>
      </c>
      <c r="B77" s="142"/>
      <c r="C77" s="526">
        <v>0</v>
      </c>
      <c r="D77" s="531">
        <v>0</v>
      </c>
      <c r="E77" s="329">
        <v>0</v>
      </c>
      <c r="F77" s="329">
        <v>0</v>
      </c>
      <c r="G77" s="329">
        <v>0</v>
      </c>
      <c r="H77" s="329">
        <f t="shared" ref="H77:H98" si="24">E77/12*$L$1</f>
        <v>0</v>
      </c>
      <c r="I77" s="41">
        <f t="shared" si="1"/>
        <v>0</v>
      </c>
      <c r="J77" s="826" t="str">
        <f t="shared" si="2"/>
        <v/>
      </c>
      <c r="K77" s="517">
        <f t="shared" ref="K77:K98" si="25">E77</f>
        <v>0</v>
      </c>
    </row>
    <row r="78" spans="1:11" ht="12.75" customHeight="1" x14ac:dyDescent="0.25">
      <c r="A78" s="694" t="s">
        <v>1304</v>
      </c>
      <c r="B78" s="142"/>
      <c r="C78" s="526">
        <v>195083.12551952494</v>
      </c>
      <c r="D78" s="531">
        <v>197976.14959675347</v>
      </c>
      <c r="E78" s="329">
        <v>197976.14959675347</v>
      </c>
      <c r="F78" s="329">
        <v>33711.31</v>
      </c>
      <c r="G78" s="329">
        <v>201715.13999999998</v>
      </c>
      <c r="H78" s="329">
        <f t="shared" si="24"/>
        <v>197976.14959675347</v>
      </c>
      <c r="I78" s="41">
        <f t="shared" si="1"/>
        <v>-3738.9904032465129</v>
      </c>
      <c r="J78" s="826">
        <f t="shared" si="2"/>
        <v>-1.8886064866208647E-2</v>
      </c>
      <c r="K78" s="517">
        <f t="shared" si="25"/>
        <v>197976.14959675347</v>
      </c>
    </row>
    <row r="79" spans="1:11" ht="12.75" customHeight="1" x14ac:dyDescent="0.25">
      <c r="A79" s="694" t="s">
        <v>1305</v>
      </c>
      <c r="B79" s="142"/>
      <c r="C79" s="526">
        <v>0</v>
      </c>
      <c r="D79" s="531">
        <v>0</v>
      </c>
      <c r="E79" s="329">
        <v>0</v>
      </c>
      <c r="F79" s="329">
        <v>0</v>
      </c>
      <c r="G79" s="329">
        <v>0</v>
      </c>
      <c r="H79" s="329">
        <f t="shared" si="24"/>
        <v>0</v>
      </c>
      <c r="I79" s="41">
        <f t="shared" si="1"/>
        <v>0</v>
      </c>
      <c r="J79" s="826" t="str">
        <f t="shared" si="2"/>
        <v/>
      </c>
      <c r="K79" s="517">
        <f t="shared" si="25"/>
        <v>0</v>
      </c>
    </row>
    <row r="80" spans="1:11" ht="12.75" customHeight="1" x14ac:dyDescent="0.25">
      <c r="A80" s="694" t="s">
        <v>1306</v>
      </c>
      <c r="B80" s="142"/>
      <c r="C80" s="526">
        <v>78463.698056411187</v>
      </c>
      <c r="D80" s="531">
        <v>79627.291099433598</v>
      </c>
      <c r="E80" s="329">
        <v>79627.291099433598</v>
      </c>
      <c r="F80" s="329">
        <v>15323.699999999999</v>
      </c>
      <c r="G80" s="329">
        <v>91690.93</v>
      </c>
      <c r="H80" s="329">
        <f t="shared" si="24"/>
        <v>79627.291099433598</v>
      </c>
      <c r="I80" s="41">
        <f t="shared" si="1"/>
        <v>-12063.638900566395</v>
      </c>
      <c r="J80" s="826">
        <f t="shared" si="2"/>
        <v>-0.15150130983988988</v>
      </c>
      <c r="K80" s="517">
        <f t="shared" si="25"/>
        <v>79627.291099433598</v>
      </c>
    </row>
    <row r="81" spans="1:11" ht="12.75" customHeight="1" x14ac:dyDescent="0.25">
      <c r="A81" s="694" t="s">
        <v>1307</v>
      </c>
      <c r="B81" s="142"/>
      <c r="C81" s="526">
        <v>186295.48421507029</v>
      </c>
      <c r="D81" s="531">
        <v>189058.1902147709</v>
      </c>
      <c r="E81" s="329">
        <v>189058.1902147709</v>
      </c>
      <c r="F81" s="329">
        <v>37741.24</v>
      </c>
      <c r="G81" s="329">
        <v>225828.69</v>
      </c>
      <c r="H81" s="329">
        <f t="shared" si="24"/>
        <v>189058.1902147709</v>
      </c>
      <c r="I81" s="41">
        <f t="shared" si="1"/>
        <v>-36770.499785229098</v>
      </c>
      <c r="J81" s="826">
        <f t="shared" si="2"/>
        <v>-0.19449302748247857</v>
      </c>
      <c r="K81" s="517">
        <f t="shared" si="25"/>
        <v>189058.1902147709</v>
      </c>
    </row>
    <row r="82" spans="1:11" ht="12.75" customHeight="1" x14ac:dyDescent="0.25">
      <c r="A82" s="694" t="s">
        <v>1308</v>
      </c>
      <c r="B82" s="142"/>
      <c r="C82" s="526">
        <v>21229.904239192627</v>
      </c>
      <c r="D82" s="531">
        <v>21544.737333842288</v>
      </c>
      <c r="E82" s="329">
        <v>21544.737333842288</v>
      </c>
      <c r="F82" s="329">
        <v>3641.97</v>
      </c>
      <c r="G82" s="329">
        <v>21792.11</v>
      </c>
      <c r="H82" s="329">
        <f t="shared" si="24"/>
        <v>21544.737333842288</v>
      </c>
      <c r="I82" s="41">
        <f t="shared" si="1"/>
        <v>-247.37266615771296</v>
      </c>
      <c r="J82" s="826">
        <f t="shared" si="2"/>
        <v>-1.1481813972693095E-2</v>
      </c>
      <c r="K82" s="517">
        <f t="shared" si="25"/>
        <v>21544.737333842288</v>
      </c>
    </row>
    <row r="83" spans="1:11" ht="12.75" customHeight="1" x14ac:dyDescent="0.25">
      <c r="A83" s="694" t="s">
        <v>1309</v>
      </c>
      <c r="B83" s="142"/>
      <c r="C83" s="526">
        <v>13735.956205815932</v>
      </c>
      <c r="D83" s="531">
        <v>13939.656305049808</v>
      </c>
      <c r="E83" s="329">
        <v>13939.656305049808</v>
      </c>
      <c r="F83" s="329">
        <v>225.13</v>
      </c>
      <c r="G83" s="329">
        <v>1347.09</v>
      </c>
      <c r="H83" s="329">
        <f t="shared" si="24"/>
        <v>13939.656305049808</v>
      </c>
      <c r="I83" s="41">
        <f t="shared" si="1"/>
        <v>12592.566305049808</v>
      </c>
      <c r="J83" s="826">
        <f t="shared" si="2"/>
        <v>0.90336275367764984</v>
      </c>
      <c r="K83" s="517">
        <f t="shared" si="25"/>
        <v>13939.656305049808</v>
      </c>
    </row>
    <row r="84" spans="1:11" ht="12.75" customHeight="1" x14ac:dyDescent="0.25">
      <c r="A84" s="694" t="s">
        <v>1310</v>
      </c>
      <c r="B84" s="142"/>
      <c r="C84" s="526">
        <v>0</v>
      </c>
      <c r="D84" s="531">
        <v>0</v>
      </c>
      <c r="E84" s="329">
        <v>0</v>
      </c>
      <c r="F84" s="329">
        <v>0</v>
      </c>
      <c r="G84" s="329">
        <v>0</v>
      </c>
      <c r="H84" s="329">
        <f t="shared" si="24"/>
        <v>0</v>
      </c>
      <c r="I84" s="41">
        <f t="shared" si="1"/>
        <v>0</v>
      </c>
      <c r="J84" s="826" t="str">
        <f t="shared" si="2"/>
        <v/>
      </c>
      <c r="K84" s="517">
        <f t="shared" si="25"/>
        <v>0</v>
      </c>
    </row>
    <row r="85" spans="1:11" ht="12.75" customHeight="1" x14ac:dyDescent="0.25">
      <c r="A85" s="694" t="s">
        <v>1186</v>
      </c>
      <c r="B85" s="142"/>
      <c r="C85" s="526">
        <v>0</v>
      </c>
      <c r="D85" s="531">
        <v>0</v>
      </c>
      <c r="E85" s="329">
        <v>0</v>
      </c>
      <c r="F85" s="329">
        <v>0</v>
      </c>
      <c r="G85" s="329">
        <v>0</v>
      </c>
      <c r="H85" s="329">
        <f t="shared" si="24"/>
        <v>0</v>
      </c>
      <c r="I85" s="41">
        <f t="shared" si="1"/>
        <v>0</v>
      </c>
      <c r="J85" s="826" t="str">
        <f t="shared" si="2"/>
        <v/>
      </c>
      <c r="K85" s="517">
        <f t="shared" si="25"/>
        <v>0</v>
      </c>
    </row>
    <row r="86" spans="1:11" ht="12.75" customHeight="1" x14ac:dyDescent="0.25">
      <c r="A86" s="694" t="s">
        <v>564</v>
      </c>
      <c r="B86" s="142"/>
      <c r="C86" s="526">
        <v>416993.07034146693</v>
      </c>
      <c r="D86" s="531">
        <v>423176.95215760369</v>
      </c>
      <c r="E86" s="329">
        <v>423176.95215760369</v>
      </c>
      <c r="F86" s="329">
        <v>49045.65</v>
      </c>
      <c r="G86" s="329">
        <v>293469.8</v>
      </c>
      <c r="H86" s="329">
        <f t="shared" si="24"/>
        <v>423176.95215760369</v>
      </c>
      <c r="I86" s="41">
        <f t="shared" si="1"/>
        <v>129707.1521576037</v>
      </c>
      <c r="J86" s="826">
        <f t="shared" si="2"/>
        <v>0.30650807303252398</v>
      </c>
      <c r="K86" s="517">
        <f t="shared" si="25"/>
        <v>423176.95215760369</v>
      </c>
    </row>
    <row r="87" spans="1:11" ht="12.75" customHeight="1" x14ac:dyDescent="0.25">
      <c r="A87" s="694" t="s">
        <v>1311</v>
      </c>
      <c r="B87" s="142"/>
      <c r="C87" s="526">
        <v>205337.90333214152</v>
      </c>
      <c r="D87" s="531">
        <v>208383.0026800503</v>
      </c>
      <c r="E87" s="329">
        <v>208383.0026800503</v>
      </c>
      <c r="F87" s="329">
        <v>35225.56</v>
      </c>
      <c r="G87" s="329">
        <v>210775.82</v>
      </c>
      <c r="H87" s="329">
        <f t="shared" si="24"/>
        <v>208383.00268005027</v>
      </c>
      <c r="I87" s="41">
        <f t="shared" si="1"/>
        <v>-2392.8173199497396</v>
      </c>
      <c r="J87" s="826">
        <f t="shared" si="2"/>
        <v>-1.1482785491980139E-2</v>
      </c>
      <c r="K87" s="517">
        <f t="shared" si="25"/>
        <v>208383.0026800503</v>
      </c>
    </row>
    <row r="88" spans="1:11" ht="12.75" customHeight="1" x14ac:dyDescent="0.25">
      <c r="A88" s="694" t="s">
        <v>170</v>
      </c>
      <c r="B88" s="142"/>
      <c r="C88" s="526">
        <v>0</v>
      </c>
      <c r="D88" s="531">
        <v>0</v>
      </c>
      <c r="E88" s="329">
        <v>0</v>
      </c>
      <c r="F88" s="329">
        <v>0</v>
      </c>
      <c r="G88" s="329">
        <v>0</v>
      </c>
      <c r="H88" s="329">
        <f t="shared" si="24"/>
        <v>0</v>
      </c>
      <c r="I88" s="41">
        <f t="shared" si="1"/>
        <v>0</v>
      </c>
      <c r="J88" s="826" t="str">
        <f t="shared" si="2"/>
        <v/>
      </c>
      <c r="K88" s="517">
        <f t="shared" si="25"/>
        <v>0</v>
      </c>
    </row>
    <row r="89" spans="1:11" ht="12.75" customHeight="1" x14ac:dyDescent="0.25">
      <c r="A89" s="694" t="s">
        <v>1312</v>
      </c>
      <c r="B89" s="142"/>
      <c r="C89" s="526">
        <v>0</v>
      </c>
      <c r="D89" s="531">
        <v>0</v>
      </c>
      <c r="E89" s="329">
        <v>0</v>
      </c>
      <c r="F89" s="329">
        <v>24673.3</v>
      </c>
      <c r="G89" s="329">
        <v>147635.29</v>
      </c>
      <c r="H89" s="329">
        <f t="shared" si="24"/>
        <v>0</v>
      </c>
      <c r="I89" s="41">
        <f t="shared" si="1"/>
        <v>-147635.29</v>
      </c>
      <c r="J89" s="826" t="e">
        <f t="shared" si="2"/>
        <v>#DIV/0!</v>
      </c>
      <c r="K89" s="517">
        <f t="shared" si="25"/>
        <v>0</v>
      </c>
    </row>
    <row r="90" spans="1:11" ht="12.75" customHeight="1" x14ac:dyDescent="0.25">
      <c r="A90" s="694" t="s">
        <v>1313</v>
      </c>
      <c r="B90" s="142"/>
      <c r="C90" s="526">
        <v>160931.54424857267</v>
      </c>
      <c r="D90" s="531">
        <v>163318.11064716202</v>
      </c>
      <c r="E90" s="329">
        <v>163318.11064716202</v>
      </c>
      <c r="F90" s="329">
        <v>0</v>
      </c>
      <c r="G90" s="329">
        <v>0</v>
      </c>
      <c r="H90" s="329">
        <f t="shared" si="24"/>
        <v>163318.11064716202</v>
      </c>
      <c r="I90" s="41">
        <f t="shared" si="1"/>
        <v>163318.11064716202</v>
      </c>
      <c r="J90" s="826">
        <f t="shared" si="2"/>
        <v>1</v>
      </c>
      <c r="K90" s="517">
        <f t="shared" si="25"/>
        <v>163318.11064716202</v>
      </c>
    </row>
    <row r="91" spans="1:11" ht="12.75" customHeight="1" x14ac:dyDescent="0.25">
      <c r="A91" s="694" t="s">
        <v>1314</v>
      </c>
      <c r="B91" s="142"/>
      <c r="C91" s="526">
        <v>0</v>
      </c>
      <c r="D91" s="531">
        <v>0</v>
      </c>
      <c r="E91" s="329">
        <v>0</v>
      </c>
      <c r="F91" s="329">
        <v>0</v>
      </c>
      <c r="G91" s="329">
        <v>0</v>
      </c>
      <c r="H91" s="329">
        <f t="shared" si="24"/>
        <v>0</v>
      </c>
      <c r="I91" s="41">
        <f t="shared" si="1"/>
        <v>0</v>
      </c>
      <c r="J91" s="826" t="str">
        <f t="shared" si="2"/>
        <v/>
      </c>
      <c r="K91" s="517">
        <f t="shared" si="25"/>
        <v>0</v>
      </c>
    </row>
    <row r="92" spans="1:11" ht="12.75" customHeight="1" x14ac:dyDescent="0.25">
      <c r="A92" s="694" t="s">
        <v>1315</v>
      </c>
      <c r="B92" s="142"/>
      <c r="C92" s="526">
        <v>45722.828713234929</v>
      </c>
      <c r="D92" s="531">
        <v>46400.884511213961</v>
      </c>
      <c r="E92" s="329">
        <v>46400.884511213961</v>
      </c>
      <c r="F92" s="329">
        <v>7542.01</v>
      </c>
      <c r="G92" s="329">
        <v>45128.4</v>
      </c>
      <c r="H92" s="329">
        <f t="shared" si="24"/>
        <v>46400.884511213961</v>
      </c>
      <c r="I92" s="41">
        <f t="shared" si="1"/>
        <v>1272.4845112139592</v>
      </c>
      <c r="J92" s="826">
        <f t="shared" si="2"/>
        <v>2.7423712384328166E-2</v>
      </c>
      <c r="K92" s="517">
        <f t="shared" si="25"/>
        <v>46400.884511213961</v>
      </c>
    </row>
    <row r="93" spans="1:11" ht="12.75" customHeight="1" x14ac:dyDescent="0.25">
      <c r="A93" s="694" t="s">
        <v>448</v>
      </c>
      <c r="B93" s="142"/>
      <c r="C93" s="526">
        <v>0</v>
      </c>
      <c r="D93" s="531">
        <v>0</v>
      </c>
      <c r="E93" s="329">
        <v>0</v>
      </c>
      <c r="F93" s="329">
        <v>0</v>
      </c>
      <c r="G93" s="329">
        <v>0</v>
      </c>
      <c r="H93" s="329">
        <f t="shared" si="24"/>
        <v>0</v>
      </c>
      <c r="I93" s="41">
        <f t="shared" si="1"/>
        <v>0</v>
      </c>
      <c r="J93" s="826" t="str">
        <f t="shared" si="2"/>
        <v/>
      </c>
      <c r="K93" s="517">
        <f t="shared" si="25"/>
        <v>0</v>
      </c>
    </row>
    <row r="94" spans="1:11" ht="12.75" customHeight="1" x14ac:dyDescent="0.25">
      <c r="A94" s="694" t="s">
        <v>1316</v>
      </c>
      <c r="B94" s="142"/>
      <c r="C94" s="526">
        <v>0</v>
      </c>
      <c r="D94" s="531">
        <v>0</v>
      </c>
      <c r="E94" s="329">
        <v>0</v>
      </c>
      <c r="F94" s="329">
        <v>0</v>
      </c>
      <c r="G94" s="329">
        <v>0</v>
      </c>
      <c r="H94" s="329">
        <f t="shared" si="24"/>
        <v>0</v>
      </c>
      <c r="I94" s="41">
        <f t="shared" si="1"/>
        <v>0</v>
      </c>
      <c r="J94" s="826" t="str">
        <f t="shared" si="2"/>
        <v/>
      </c>
      <c r="K94" s="517">
        <f t="shared" si="25"/>
        <v>0</v>
      </c>
    </row>
    <row r="95" spans="1:11" ht="12.75" customHeight="1" x14ac:dyDescent="0.25">
      <c r="A95" s="694" t="s">
        <v>447</v>
      </c>
      <c r="B95" s="142"/>
      <c r="C95" s="526">
        <v>0</v>
      </c>
      <c r="D95" s="531">
        <v>0</v>
      </c>
      <c r="E95" s="329">
        <v>0</v>
      </c>
      <c r="F95" s="329">
        <v>0</v>
      </c>
      <c r="G95" s="329">
        <v>0</v>
      </c>
      <c r="H95" s="329">
        <f t="shared" si="24"/>
        <v>0</v>
      </c>
      <c r="I95" s="41">
        <f t="shared" si="1"/>
        <v>0</v>
      </c>
      <c r="J95" s="826" t="str">
        <f t="shared" si="2"/>
        <v/>
      </c>
      <c r="K95" s="517">
        <f t="shared" si="25"/>
        <v>0</v>
      </c>
    </row>
    <row r="96" spans="1:11" ht="12.75" customHeight="1" x14ac:dyDescent="0.25">
      <c r="A96" s="694" t="s">
        <v>1317</v>
      </c>
      <c r="B96" s="142"/>
      <c r="C96" s="526">
        <v>303.97378829083294</v>
      </c>
      <c r="D96" s="531">
        <v>308.481628146432</v>
      </c>
      <c r="E96" s="329">
        <v>308.481628146432</v>
      </c>
      <c r="F96" s="329">
        <v>0</v>
      </c>
      <c r="G96" s="329">
        <v>0</v>
      </c>
      <c r="H96" s="329">
        <f t="shared" si="24"/>
        <v>308.481628146432</v>
      </c>
      <c r="I96" s="41">
        <f t="shared" si="1"/>
        <v>308.481628146432</v>
      </c>
      <c r="J96" s="826">
        <f t="shared" si="2"/>
        <v>1</v>
      </c>
      <c r="K96" s="517">
        <f t="shared" si="25"/>
        <v>308.481628146432</v>
      </c>
    </row>
    <row r="97" spans="1:11" ht="12.75" customHeight="1" x14ac:dyDescent="0.25">
      <c r="A97" s="694" t="s">
        <v>1318</v>
      </c>
      <c r="B97" s="142"/>
      <c r="C97" s="526">
        <v>76691.019328079623</v>
      </c>
      <c r="D97" s="531">
        <v>77828.324078721053</v>
      </c>
      <c r="E97" s="329">
        <v>77828.324078721053</v>
      </c>
      <c r="F97" s="329">
        <v>13156.27</v>
      </c>
      <c r="G97" s="329">
        <v>78721.91</v>
      </c>
      <c r="H97" s="329">
        <f t="shared" si="24"/>
        <v>77828.324078721053</v>
      </c>
      <c r="I97" s="41">
        <f t="shared" si="1"/>
        <v>-893.58592127895099</v>
      </c>
      <c r="J97" s="826">
        <f t="shared" si="2"/>
        <v>-1.1481500236020953E-2</v>
      </c>
      <c r="K97" s="517">
        <f t="shared" si="25"/>
        <v>77828.324078721053</v>
      </c>
    </row>
    <row r="98" spans="1:11" ht="12.75" customHeight="1" x14ac:dyDescent="0.25">
      <c r="A98" s="694" t="s">
        <v>1253</v>
      </c>
      <c r="B98" s="142"/>
      <c r="C98" s="526">
        <v>0</v>
      </c>
      <c r="D98" s="531">
        <v>0</v>
      </c>
      <c r="E98" s="329">
        <v>0</v>
      </c>
      <c r="F98" s="329">
        <v>5136.58</v>
      </c>
      <c r="G98" s="329">
        <v>30735.24</v>
      </c>
      <c r="H98" s="329">
        <f t="shared" si="24"/>
        <v>0</v>
      </c>
      <c r="I98" s="41">
        <f t="shared" si="1"/>
        <v>-30735.24</v>
      </c>
      <c r="J98" s="826" t="e">
        <f t="shared" si="2"/>
        <v>#DIV/0!</v>
      </c>
      <c r="K98" s="517">
        <f t="shared" si="25"/>
        <v>0</v>
      </c>
    </row>
    <row r="99" spans="1:11" ht="12.75" customHeight="1" x14ac:dyDescent="0.25">
      <c r="A99" s="828" t="s">
        <v>1319</v>
      </c>
      <c r="B99" s="142"/>
      <c r="C99" s="111">
        <f t="shared" ref="C99:H99" si="26">SUM(C100:C102)</f>
        <v>966480.26144217362</v>
      </c>
      <c r="D99" s="43">
        <f t="shared" si="26"/>
        <v>980812.87303567852</v>
      </c>
      <c r="E99" s="41">
        <f t="shared" si="26"/>
        <v>980812.87303567852</v>
      </c>
      <c r="F99" s="41">
        <f t="shared" si="26"/>
        <v>226205.66</v>
      </c>
      <c r="G99" s="41">
        <f t="shared" si="26"/>
        <v>976170.03</v>
      </c>
      <c r="H99" s="41">
        <f t="shared" si="26"/>
        <v>980812.87303567852</v>
      </c>
      <c r="I99" s="221">
        <f t="shared" si="1"/>
        <v>4642.8430356784957</v>
      </c>
      <c r="J99" s="829">
        <f t="shared" si="2"/>
        <v>4.7336685348639438E-3</v>
      </c>
      <c r="K99" s="119">
        <f>SUM(K100:K102)</f>
        <v>980812.87303567852</v>
      </c>
    </row>
    <row r="100" spans="1:11" ht="12.75" customHeight="1" x14ac:dyDescent="0.25">
      <c r="A100" s="694" t="s">
        <v>1320</v>
      </c>
      <c r="B100" s="142"/>
      <c r="C100" s="526">
        <v>76451.107701497618</v>
      </c>
      <c r="D100" s="531">
        <v>77584.854634873918</v>
      </c>
      <c r="E100" s="329">
        <v>77584.854634873918</v>
      </c>
      <c r="F100" s="329">
        <v>9645.11</v>
      </c>
      <c r="G100" s="329">
        <v>57712.52</v>
      </c>
      <c r="H100" s="329">
        <f>E100/12*$L$1</f>
        <v>77584.854634873918</v>
      </c>
      <c r="I100" s="41">
        <f t="shared" si="1"/>
        <v>19872.334634873921</v>
      </c>
      <c r="J100" s="826">
        <f t="shared" si="2"/>
        <v>0.25613677731815238</v>
      </c>
      <c r="K100" s="517">
        <f>E100</f>
        <v>77584.854634873918</v>
      </c>
    </row>
    <row r="101" spans="1:11" ht="12.75" customHeight="1" x14ac:dyDescent="0.25">
      <c r="A101" s="694" t="s">
        <v>1321</v>
      </c>
      <c r="B101" s="142"/>
      <c r="C101" s="526">
        <v>890029.153740676</v>
      </c>
      <c r="D101" s="531">
        <v>903228.01840080461</v>
      </c>
      <c r="E101" s="329">
        <v>903228.01840080461</v>
      </c>
      <c r="F101" s="329">
        <v>208210.81999999998</v>
      </c>
      <c r="G101" s="329">
        <v>868496</v>
      </c>
      <c r="H101" s="329">
        <f>E101/12*$L$1</f>
        <v>903228.01840080461</v>
      </c>
      <c r="I101" s="41">
        <f>H101-G101</f>
        <v>34732.018400804605</v>
      </c>
      <c r="J101" s="826">
        <f>IF(I101=0,"",I101/H101)</f>
        <v>3.8453211916852185E-2</v>
      </c>
      <c r="K101" s="517">
        <f>E101</f>
        <v>903228.01840080461</v>
      </c>
    </row>
    <row r="102" spans="1:11" ht="12.75" customHeight="1" x14ac:dyDescent="0.25">
      <c r="A102" s="694" t="s">
        <v>1253</v>
      </c>
      <c r="B102" s="142"/>
      <c r="C102" s="526">
        <v>0</v>
      </c>
      <c r="D102" s="531">
        <v>0</v>
      </c>
      <c r="E102" s="329">
        <v>0</v>
      </c>
      <c r="F102" s="329">
        <v>8349.73</v>
      </c>
      <c r="G102" s="329">
        <v>49961.51</v>
      </c>
      <c r="H102" s="329">
        <f>E102/12*$L$1</f>
        <v>0</v>
      </c>
      <c r="I102" s="41">
        <f t="shared" si="1"/>
        <v>-49961.51</v>
      </c>
      <c r="J102" s="826" t="e">
        <f t="shared" si="2"/>
        <v>#DIV/0!</v>
      </c>
      <c r="K102" s="517">
        <f>E102</f>
        <v>0</v>
      </c>
    </row>
    <row r="103" spans="1:11" ht="5.0999999999999996" customHeight="1" x14ac:dyDescent="0.25">
      <c r="A103" s="39"/>
      <c r="B103" s="142"/>
      <c r="C103" s="111"/>
      <c r="D103" s="221"/>
      <c r="E103" s="41"/>
      <c r="F103" s="41"/>
      <c r="G103" s="41"/>
      <c r="H103" s="41"/>
      <c r="I103" s="41">
        <f t="shared" si="1"/>
        <v>0</v>
      </c>
      <c r="J103" s="826" t="str">
        <f t="shared" si="2"/>
        <v/>
      </c>
      <c r="K103" s="119"/>
    </row>
    <row r="104" spans="1:11" ht="12.75" customHeight="1" x14ac:dyDescent="0.25">
      <c r="A104" s="32" t="s">
        <v>681</v>
      </c>
      <c r="B104" s="142"/>
      <c r="C104" s="212">
        <f t="shared" ref="C104:H104" si="27">SUM(C105:C109)</f>
        <v>0</v>
      </c>
      <c r="D104" s="831">
        <f t="shared" si="27"/>
        <v>0</v>
      </c>
      <c r="E104" s="85">
        <f t="shared" si="27"/>
        <v>0</v>
      </c>
      <c r="F104" s="85">
        <f t="shared" si="27"/>
        <v>0</v>
      </c>
      <c r="G104" s="85">
        <f t="shared" si="27"/>
        <v>0</v>
      </c>
      <c r="H104" s="85">
        <f t="shared" si="27"/>
        <v>0</v>
      </c>
      <c r="I104" s="85">
        <f t="shared" si="1"/>
        <v>0</v>
      </c>
      <c r="J104" s="832" t="str">
        <f t="shared" si="2"/>
        <v/>
      </c>
      <c r="K104" s="160">
        <f>SUM(K105:K109)</f>
        <v>0</v>
      </c>
    </row>
    <row r="105" spans="1:11" ht="12.75" customHeight="1" x14ac:dyDescent="0.25">
      <c r="A105" s="828" t="s">
        <v>1323</v>
      </c>
      <c r="B105" s="142"/>
      <c r="C105" s="548">
        <v>0</v>
      </c>
      <c r="D105" s="531">
        <v>0</v>
      </c>
      <c r="E105" s="329">
        <v>0</v>
      </c>
      <c r="F105" s="329">
        <v>0</v>
      </c>
      <c r="G105" s="329">
        <v>0</v>
      </c>
      <c r="H105" s="329">
        <f>E105/12*$L$1</f>
        <v>0</v>
      </c>
      <c r="I105" s="41">
        <f t="shared" si="1"/>
        <v>0</v>
      </c>
      <c r="J105" s="826" t="str">
        <f t="shared" si="2"/>
        <v/>
      </c>
      <c r="K105" s="517">
        <f>E105</f>
        <v>0</v>
      </c>
    </row>
    <row r="106" spans="1:11" ht="12.75" customHeight="1" x14ac:dyDescent="0.25">
      <c r="A106" s="828" t="s">
        <v>1324</v>
      </c>
      <c r="B106" s="142"/>
      <c r="C106" s="548">
        <v>0</v>
      </c>
      <c r="D106" s="531">
        <v>0</v>
      </c>
      <c r="E106" s="329">
        <v>0</v>
      </c>
      <c r="F106" s="329">
        <v>0</v>
      </c>
      <c r="G106" s="329">
        <v>0</v>
      </c>
      <c r="H106" s="329">
        <f>E106/12*$L$1</f>
        <v>0</v>
      </c>
      <c r="I106" s="41">
        <f t="shared" si="1"/>
        <v>0</v>
      </c>
      <c r="J106" s="826" t="str">
        <f t="shared" si="2"/>
        <v/>
      </c>
      <c r="K106" s="517">
        <f>E106</f>
        <v>0</v>
      </c>
    </row>
    <row r="107" spans="1:11" ht="12.75" customHeight="1" x14ac:dyDescent="0.25">
      <c r="A107" s="828" t="s">
        <v>1325</v>
      </c>
      <c r="B107" s="142"/>
      <c r="C107" s="548">
        <v>0</v>
      </c>
      <c r="D107" s="531">
        <v>0</v>
      </c>
      <c r="E107" s="329">
        <v>0</v>
      </c>
      <c r="F107" s="329">
        <v>0</v>
      </c>
      <c r="G107" s="329">
        <v>0</v>
      </c>
      <c r="H107" s="329">
        <f>E107/12*$L$1</f>
        <v>0</v>
      </c>
      <c r="I107" s="41">
        <f t="shared" si="1"/>
        <v>0</v>
      </c>
      <c r="J107" s="826" t="str">
        <f t="shared" si="2"/>
        <v/>
      </c>
      <c r="K107" s="517">
        <f>E107</f>
        <v>0</v>
      </c>
    </row>
    <row r="108" spans="1:11" ht="12.75" customHeight="1" x14ac:dyDescent="0.25">
      <c r="A108" s="828" t="s">
        <v>1326</v>
      </c>
      <c r="B108" s="142"/>
      <c r="C108" s="548">
        <v>0</v>
      </c>
      <c r="D108" s="531">
        <v>0</v>
      </c>
      <c r="E108" s="329">
        <v>0</v>
      </c>
      <c r="F108" s="329">
        <v>0</v>
      </c>
      <c r="G108" s="329">
        <v>0</v>
      </c>
      <c r="H108" s="329">
        <f>E108/12*$L$1</f>
        <v>0</v>
      </c>
      <c r="I108" s="41">
        <f t="shared" si="1"/>
        <v>0</v>
      </c>
      <c r="J108" s="826" t="str">
        <f t="shared" si="2"/>
        <v/>
      </c>
      <c r="K108" s="517">
        <f>E108</f>
        <v>0</v>
      </c>
    </row>
    <row r="109" spans="1:11" ht="12.75" customHeight="1" x14ac:dyDescent="0.25">
      <c r="A109" s="828" t="s">
        <v>1327</v>
      </c>
      <c r="B109" s="142"/>
      <c r="C109" s="548">
        <v>0</v>
      </c>
      <c r="D109" s="531">
        <v>0</v>
      </c>
      <c r="E109" s="329">
        <v>0</v>
      </c>
      <c r="F109" s="329">
        <v>0</v>
      </c>
      <c r="G109" s="329">
        <v>0</v>
      </c>
      <c r="H109" s="329">
        <f>E109/12*$L$1</f>
        <v>0</v>
      </c>
      <c r="I109" s="41">
        <f t="shared" si="1"/>
        <v>0</v>
      </c>
      <c r="J109" s="826" t="str">
        <f t="shared" si="2"/>
        <v/>
      </c>
      <c r="K109" s="517">
        <f>E109</f>
        <v>0</v>
      </c>
    </row>
    <row r="110" spans="1:11" ht="5.0999999999999996" customHeight="1" x14ac:dyDescent="0.25">
      <c r="A110" s="39"/>
      <c r="B110" s="142"/>
      <c r="C110" s="111"/>
      <c r="D110" s="221"/>
      <c r="E110" s="41"/>
      <c r="F110" s="41"/>
      <c r="G110" s="41"/>
      <c r="H110" s="41"/>
      <c r="I110" s="41">
        <f t="shared" si="1"/>
        <v>0</v>
      </c>
      <c r="J110" s="826" t="str">
        <f t="shared" si="2"/>
        <v/>
      </c>
      <c r="K110" s="119"/>
    </row>
    <row r="111" spans="1:11" ht="12.75" customHeight="1" x14ac:dyDescent="0.25">
      <c r="A111" s="32" t="s">
        <v>682</v>
      </c>
      <c r="B111" s="35"/>
      <c r="C111" s="472">
        <f t="shared" ref="C111:H111" si="28">+C112+C115</f>
        <v>0</v>
      </c>
      <c r="D111" s="830">
        <f t="shared" si="28"/>
        <v>0</v>
      </c>
      <c r="E111" s="474">
        <f t="shared" si="28"/>
        <v>0</v>
      </c>
      <c r="F111" s="474">
        <f t="shared" si="28"/>
        <v>0</v>
      </c>
      <c r="G111" s="474">
        <f t="shared" si="28"/>
        <v>0</v>
      </c>
      <c r="H111" s="474">
        <f t="shared" si="28"/>
        <v>0</v>
      </c>
      <c r="I111" s="85">
        <f t="shared" si="1"/>
        <v>0</v>
      </c>
      <c r="J111" s="832" t="str">
        <f t="shared" si="2"/>
        <v/>
      </c>
      <c r="K111" s="476">
        <f>+K112+K115</f>
        <v>0</v>
      </c>
    </row>
    <row r="112" spans="1:11" ht="12.75" customHeight="1" x14ac:dyDescent="0.25">
      <c r="A112" s="828" t="s">
        <v>1328</v>
      </c>
      <c r="B112" s="142"/>
      <c r="C112" s="111">
        <f t="shared" ref="C112:H112" si="29">SUM(C113:C114)</f>
        <v>0</v>
      </c>
      <c r="D112" s="43">
        <f t="shared" si="29"/>
        <v>0</v>
      </c>
      <c r="E112" s="41">
        <f t="shared" si="29"/>
        <v>0</v>
      </c>
      <c r="F112" s="41">
        <f t="shared" si="29"/>
        <v>0</v>
      </c>
      <c r="G112" s="41">
        <f t="shared" si="29"/>
        <v>0</v>
      </c>
      <c r="H112" s="41">
        <f t="shared" si="29"/>
        <v>0</v>
      </c>
      <c r="I112" s="221">
        <f t="shared" si="1"/>
        <v>0</v>
      </c>
      <c r="J112" s="829" t="str">
        <f t="shared" si="2"/>
        <v/>
      </c>
      <c r="K112" s="119">
        <f>SUM(K113:K114)</f>
        <v>0</v>
      </c>
    </row>
    <row r="113" spans="1:11" ht="12.75" customHeight="1" x14ac:dyDescent="0.25">
      <c r="A113" s="694" t="s">
        <v>1329</v>
      </c>
      <c r="B113" s="142"/>
      <c r="C113" s="526">
        <v>0</v>
      </c>
      <c r="D113" s="531">
        <v>0</v>
      </c>
      <c r="E113" s="329">
        <v>0</v>
      </c>
      <c r="F113" s="329">
        <v>0</v>
      </c>
      <c r="G113" s="329">
        <v>0</v>
      </c>
      <c r="H113" s="329">
        <f>E113/12*$L$1</f>
        <v>0</v>
      </c>
      <c r="I113" s="41">
        <f t="shared" si="1"/>
        <v>0</v>
      </c>
      <c r="J113" s="826" t="str">
        <f t="shared" si="2"/>
        <v/>
      </c>
      <c r="K113" s="517">
        <f>E113</f>
        <v>0</v>
      </c>
    </row>
    <row r="114" spans="1:11" ht="12.75" customHeight="1" x14ac:dyDescent="0.25">
      <c r="A114" s="694" t="s">
        <v>1330</v>
      </c>
      <c r="B114" s="142"/>
      <c r="C114" s="526">
        <v>0</v>
      </c>
      <c r="D114" s="531">
        <v>0</v>
      </c>
      <c r="E114" s="329">
        <v>0</v>
      </c>
      <c r="F114" s="329">
        <v>0</v>
      </c>
      <c r="G114" s="329">
        <v>0</v>
      </c>
      <c r="H114" s="329">
        <f>E114/12*$L$1</f>
        <v>0</v>
      </c>
      <c r="I114" s="41">
        <f t="shared" si="1"/>
        <v>0</v>
      </c>
      <c r="J114" s="826" t="str">
        <f t="shared" si="2"/>
        <v/>
      </c>
      <c r="K114" s="517">
        <f>E114</f>
        <v>0</v>
      </c>
    </row>
    <row r="115" spans="1:11" ht="12.75" customHeight="1" x14ac:dyDescent="0.25">
      <c r="A115" s="828" t="s">
        <v>1331</v>
      </c>
      <c r="B115" s="142"/>
      <c r="C115" s="111">
        <f t="shared" ref="C115:H115" si="30">SUM(C116:C117)</f>
        <v>0</v>
      </c>
      <c r="D115" s="43">
        <f t="shared" si="30"/>
        <v>0</v>
      </c>
      <c r="E115" s="41">
        <f t="shared" si="30"/>
        <v>0</v>
      </c>
      <c r="F115" s="41">
        <f t="shared" si="30"/>
        <v>0</v>
      </c>
      <c r="G115" s="41">
        <f t="shared" si="30"/>
        <v>0</v>
      </c>
      <c r="H115" s="41">
        <f t="shared" si="30"/>
        <v>0</v>
      </c>
      <c r="I115" s="221">
        <f t="shared" si="1"/>
        <v>0</v>
      </c>
      <c r="J115" s="829" t="str">
        <f t="shared" si="2"/>
        <v/>
      </c>
      <c r="K115" s="119">
        <f>SUM(K116:K117)</f>
        <v>0</v>
      </c>
    </row>
    <row r="116" spans="1:11" ht="12.75" customHeight="1" x14ac:dyDescent="0.25">
      <c r="A116" s="694" t="s">
        <v>1329</v>
      </c>
      <c r="B116" s="142"/>
      <c r="C116" s="526">
        <v>0</v>
      </c>
      <c r="D116" s="531">
        <v>0</v>
      </c>
      <c r="E116" s="329">
        <v>0</v>
      </c>
      <c r="F116" s="329">
        <v>0</v>
      </c>
      <c r="G116" s="329">
        <v>0</v>
      </c>
      <c r="H116" s="329">
        <f>E116/12*$L$1</f>
        <v>0</v>
      </c>
      <c r="I116" s="41">
        <f t="shared" si="1"/>
        <v>0</v>
      </c>
      <c r="J116" s="826" t="str">
        <f t="shared" si="2"/>
        <v/>
      </c>
      <c r="K116" s="517">
        <f>E116</f>
        <v>0</v>
      </c>
    </row>
    <row r="117" spans="1:11" ht="12.75" customHeight="1" x14ac:dyDescent="0.25">
      <c r="A117" s="694" t="s">
        <v>1330</v>
      </c>
      <c r="B117" s="142"/>
      <c r="C117" s="526">
        <v>0</v>
      </c>
      <c r="D117" s="531">
        <v>0</v>
      </c>
      <c r="E117" s="329">
        <v>0</v>
      </c>
      <c r="F117" s="329">
        <v>0</v>
      </c>
      <c r="G117" s="329">
        <v>0</v>
      </c>
      <c r="H117" s="329">
        <f>E117/12*$L$1</f>
        <v>0</v>
      </c>
      <c r="I117" s="41">
        <f>H117-G117</f>
        <v>0</v>
      </c>
      <c r="J117" s="826" t="str">
        <f>IF(I117=0,"",I117/H117)</f>
        <v/>
      </c>
      <c r="K117" s="517">
        <f>E117</f>
        <v>0</v>
      </c>
    </row>
    <row r="118" spans="1:11" ht="5.0999999999999996" customHeight="1" x14ac:dyDescent="0.25">
      <c r="A118" s="39"/>
      <c r="B118" s="142"/>
      <c r="C118" s="111"/>
      <c r="D118" s="221"/>
      <c r="E118" s="41"/>
      <c r="F118" s="41"/>
      <c r="G118" s="41"/>
      <c r="H118" s="41"/>
      <c r="I118" s="41">
        <f>H118-G118</f>
        <v>0</v>
      </c>
      <c r="J118" s="826" t="str">
        <f>IF(I118=0,"",I118/H118)</f>
        <v/>
      </c>
      <c r="K118" s="119"/>
    </row>
    <row r="119" spans="1:11" ht="12.75" customHeight="1" x14ac:dyDescent="0.25">
      <c r="A119" s="32" t="s">
        <v>683</v>
      </c>
      <c r="B119" s="142"/>
      <c r="C119" s="472">
        <f t="shared" ref="C119:H119" si="31">+C120+C132</f>
        <v>4334654.918625202</v>
      </c>
      <c r="D119" s="830">
        <f t="shared" si="31"/>
        <v>4458592.6134286448</v>
      </c>
      <c r="E119" s="474">
        <f t="shared" si="31"/>
        <v>4458592.6134286448</v>
      </c>
      <c r="F119" s="474">
        <f t="shared" si="31"/>
        <v>652235.06000000006</v>
      </c>
      <c r="G119" s="474">
        <f t="shared" si="31"/>
        <v>3902719.6499999994</v>
      </c>
      <c r="H119" s="474">
        <f t="shared" si="31"/>
        <v>4458592.6134286448</v>
      </c>
      <c r="I119" s="474">
        <f t="shared" si="1"/>
        <v>555872.96342864539</v>
      </c>
      <c r="J119" s="827">
        <f t="shared" si="2"/>
        <v>0.12467453558202096</v>
      </c>
      <c r="K119" s="476">
        <f>+K120+K132</f>
        <v>4458592.6134286448</v>
      </c>
    </row>
    <row r="120" spans="1:11" ht="12.75" customHeight="1" x14ac:dyDescent="0.25">
      <c r="A120" s="828" t="s">
        <v>1332</v>
      </c>
      <c r="B120" s="142"/>
      <c r="C120" s="111">
        <f t="shared" ref="C120:H120" si="32">SUM(C121:C131)</f>
        <v>2280310.1404225752</v>
      </c>
      <c r="D120" s="43">
        <f t="shared" si="32"/>
        <v>2373782.5200408041</v>
      </c>
      <c r="E120" s="41">
        <f t="shared" si="32"/>
        <v>2373782.5200408041</v>
      </c>
      <c r="F120" s="41">
        <f t="shared" si="32"/>
        <v>322403.03999999998</v>
      </c>
      <c r="G120" s="41">
        <f t="shared" si="32"/>
        <v>1929136.3599999999</v>
      </c>
      <c r="H120" s="41">
        <f t="shared" si="32"/>
        <v>2373782.5200408045</v>
      </c>
      <c r="I120" s="221">
        <f t="shared" si="1"/>
        <v>444646.16004080465</v>
      </c>
      <c r="J120" s="829">
        <f t="shared" si="2"/>
        <v>0.18731545804506192</v>
      </c>
      <c r="K120" s="119">
        <f>SUM(K121:K131)</f>
        <v>2373782.5200408041</v>
      </c>
    </row>
    <row r="121" spans="1:11" ht="12.75" customHeight="1" x14ac:dyDescent="0.25">
      <c r="A121" s="694" t="s">
        <v>1333</v>
      </c>
      <c r="B121" s="142"/>
      <c r="C121" s="526">
        <v>1300996.7939952635</v>
      </c>
      <c r="D121" s="531">
        <v>1379946.2512294038</v>
      </c>
      <c r="E121" s="329">
        <v>1379946.2512294038</v>
      </c>
      <c r="F121" s="329">
        <v>290171.45</v>
      </c>
      <c r="G121" s="329">
        <v>1736275.2599999998</v>
      </c>
      <c r="H121" s="329">
        <f t="shared" ref="H121:H131" si="33">E121/12*$L$1</f>
        <v>1379946.2512294038</v>
      </c>
      <c r="I121" s="41">
        <f t="shared" si="1"/>
        <v>-356329.008770596</v>
      </c>
      <c r="J121" s="826">
        <f t="shared" si="2"/>
        <v>-0.25821948387710031</v>
      </c>
      <c r="K121" s="517">
        <f t="shared" ref="K121:K131" si="34">E121</f>
        <v>1379946.2512294038</v>
      </c>
    </row>
    <row r="122" spans="1:11" ht="12.75" customHeight="1" x14ac:dyDescent="0.25">
      <c r="A122" s="694" t="s">
        <v>1334</v>
      </c>
      <c r="B122" s="142"/>
      <c r="C122" s="526">
        <v>0</v>
      </c>
      <c r="D122" s="531">
        <v>0</v>
      </c>
      <c r="E122" s="329">
        <v>0</v>
      </c>
      <c r="F122" s="329">
        <v>0</v>
      </c>
      <c r="G122" s="329">
        <v>0</v>
      </c>
      <c r="H122" s="329">
        <f t="shared" si="33"/>
        <v>0</v>
      </c>
      <c r="I122" s="41">
        <f t="shared" si="1"/>
        <v>0</v>
      </c>
      <c r="J122" s="826" t="str">
        <f t="shared" si="2"/>
        <v/>
      </c>
      <c r="K122" s="517">
        <f t="shared" si="34"/>
        <v>0</v>
      </c>
    </row>
    <row r="123" spans="1:11" ht="12.75" customHeight="1" x14ac:dyDescent="0.25">
      <c r="A123" s="694" t="s">
        <v>1335</v>
      </c>
      <c r="B123" s="142"/>
      <c r="C123" s="526">
        <v>0</v>
      </c>
      <c r="D123" s="531">
        <v>0</v>
      </c>
      <c r="E123" s="329">
        <v>0</v>
      </c>
      <c r="F123" s="329">
        <v>0</v>
      </c>
      <c r="G123" s="329">
        <v>0</v>
      </c>
      <c r="H123" s="329">
        <f t="shared" si="33"/>
        <v>0</v>
      </c>
      <c r="I123" s="41">
        <f t="shared" si="1"/>
        <v>0</v>
      </c>
      <c r="J123" s="826" t="str">
        <f t="shared" si="2"/>
        <v/>
      </c>
      <c r="K123" s="517">
        <f t="shared" si="34"/>
        <v>0</v>
      </c>
    </row>
    <row r="124" spans="1:11" ht="12.75" customHeight="1" x14ac:dyDescent="0.25">
      <c r="A124" s="694" t="s">
        <v>1336</v>
      </c>
      <c r="B124" s="142"/>
      <c r="C124" s="526">
        <v>18322.265339370013</v>
      </c>
      <c r="D124" s="531">
        <v>18593.97902365206</v>
      </c>
      <c r="E124" s="329">
        <v>18593.97902365206</v>
      </c>
      <c r="F124" s="329">
        <v>3143.17</v>
      </c>
      <c r="G124" s="329">
        <v>18807.48</v>
      </c>
      <c r="H124" s="329">
        <f t="shared" si="33"/>
        <v>18593.97902365206</v>
      </c>
      <c r="I124" s="41">
        <f t="shared" si="1"/>
        <v>-213.50097634793929</v>
      </c>
      <c r="J124" s="826">
        <f t="shared" si="2"/>
        <v>-1.1482264020861811E-2</v>
      </c>
      <c r="K124" s="517">
        <f t="shared" si="34"/>
        <v>18593.97902365206</v>
      </c>
    </row>
    <row r="125" spans="1:11" ht="12.75" customHeight="1" x14ac:dyDescent="0.25">
      <c r="A125" s="694" t="s">
        <v>1337</v>
      </c>
      <c r="B125" s="142"/>
      <c r="C125" s="526">
        <v>0</v>
      </c>
      <c r="D125" s="531">
        <v>0</v>
      </c>
      <c r="E125" s="329">
        <v>0</v>
      </c>
      <c r="F125" s="329">
        <v>0</v>
      </c>
      <c r="G125" s="329">
        <v>0</v>
      </c>
      <c r="H125" s="329">
        <f t="shared" si="33"/>
        <v>0</v>
      </c>
      <c r="I125" s="41">
        <f t="shared" si="1"/>
        <v>0</v>
      </c>
      <c r="J125" s="826" t="str">
        <f t="shared" si="2"/>
        <v/>
      </c>
      <c r="K125" s="517">
        <f t="shared" si="34"/>
        <v>0</v>
      </c>
    </row>
    <row r="126" spans="1:11" ht="12.75" customHeight="1" x14ac:dyDescent="0.25">
      <c r="A126" s="694" t="s">
        <v>1338</v>
      </c>
      <c r="B126" s="142"/>
      <c r="C126" s="526">
        <v>0</v>
      </c>
      <c r="D126" s="531">
        <v>0</v>
      </c>
      <c r="E126" s="329">
        <v>0</v>
      </c>
      <c r="F126" s="329">
        <v>0</v>
      </c>
      <c r="G126" s="329">
        <v>0</v>
      </c>
      <c r="H126" s="329">
        <f t="shared" si="33"/>
        <v>0</v>
      </c>
      <c r="I126" s="41">
        <f t="shared" si="1"/>
        <v>0</v>
      </c>
      <c r="J126" s="826" t="str">
        <f t="shared" si="2"/>
        <v/>
      </c>
      <c r="K126" s="517">
        <f t="shared" si="34"/>
        <v>0</v>
      </c>
    </row>
    <row r="127" spans="1:11" ht="12.75" customHeight="1" x14ac:dyDescent="0.25">
      <c r="A127" s="694" t="s">
        <v>1339</v>
      </c>
      <c r="B127" s="142"/>
      <c r="C127" s="526">
        <v>0</v>
      </c>
      <c r="D127" s="531">
        <v>0</v>
      </c>
      <c r="E127" s="329">
        <v>0</v>
      </c>
      <c r="F127" s="329">
        <v>0</v>
      </c>
      <c r="G127" s="329">
        <v>0</v>
      </c>
      <c r="H127" s="329">
        <f t="shared" si="33"/>
        <v>0</v>
      </c>
      <c r="I127" s="41">
        <f t="shared" si="1"/>
        <v>0</v>
      </c>
      <c r="J127" s="826" t="str">
        <f t="shared" si="2"/>
        <v/>
      </c>
      <c r="K127" s="517">
        <f t="shared" si="34"/>
        <v>0</v>
      </c>
    </row>
    <row r="128" spans="1:11" ht="12.75" customHeight="1" x14ac:dyDescent="0.25">
      <c r="A128" s="694" t="s">
        <v>1340</v>
      </c>
      <c r="B128" s="142"/>
      <c r="C128" s="526">
        <v>0</v>
      </c>
      <c r="D128" s="531">
        <v>0</v>
      </c>
      <c r="E128" s="329">
        <v>0</v>
      </c>
      <c r="F128" s="329">
        <v>0</v>
      </c>
      <c r="G128" s="329">
        <v>0</v>
      </c>
      <c r="H128" s="329">
        <f t="shared" si="33"/>
        <v>0</v>
      </c>
      <c r="I128" s="41">
        <f t="shared" si="1"/>
        <v>0</v>
      </c>
      <c r="J128" s="826" t="str">
        <f t="shared" si="2"/>
        <v/>
      </c>
      <c r="K128" s="517">
        <f t="shared" si="34"/>
        <v>0</v>
      </c>
    </row>
    <row r="129" spans="1:11" ht="12.75" customHeight="1" x14ac:dyDescent="0.25">
      <c r="A129" s="694" t="s">
        <v>1341</v>
      </c>
      <c r="B129" s="142"/>
      <c r="C129" s="526">
        <v>0</v>
      </c>
      <c r="D129" s="531">
        <v>0</v>
      </c>
      <c r="E129" s="329">
        <v>0</v>
      </c>
      <c r="F129" s="329">
        <v>0</v>
      </c>
      <c r="G129" s="329">
        <v>0</v>
      </c>
      <c r="H129" s="329">
        <f t="shared" si="33"/>
        <v>0</v>
      </c>
      <c r="I129" s="41">
        <f t="shared" si="1"/>
        <v>0</v>
      </c>
      <c r="J129" s="826" t="str">
        <f t="shared" si="2"/>
        <v/>
      </c>
      <c r="K129" s="517">
        <f t="shared" si="34"/>
        <v>0</v>
      </c>
    </row>
    <row r="130" spans="1:11" ht="12.75" customHeight="1" x14ac:dyDescent="0.25">
      <c r="A130" s="694" t="s">
        <v>1342</v>
      </c>
      <c r="B130" s="142"/>
      <c r="C130" s="526">
        <v>0</v>
      </c>
      <c r="D130" s="531">
        <v>0</v>
      </c>
      <c r="E130" s="329">
        <v>0</v>
      </c>
      <c r="F130" s="329">
        <v>0</v>
      </c>
      <c r="G130" s="329">
        <v>0</v>
      </c>
      <c r="H130" s="329">
        <f t="shared" si="33"/>
        <v>0</v>
      </c>
      <c r="I130" s="41">
        <f t="shared" si="1"/>
        <v>0</v>
      </c>
      <c r="J130" s="826" t="str">
        <f t="shared" si="2"/>
        <v/>
      </c>
      <c r="K130" s="517">
        <f t="shared" si="34"/>
        <v>0</v>
      </c>
    </row>
    <row r="131" spans="1:11" ht="12.75" customHeight="1" x14ac:dyDescent="0.25">
      <c r="A131" s="694" t="s">
        <v>1253</v>
      </c>
      <c r="B131" s="142"/>
      <c r="C131" s="526">
        <v>960991.08108794165</v>
      </c>
      <c r="D131" s="531">
        <v>975242.28978774825</v>
      </c>
      <c r="E131" s="329">
        <v>975242.28978774825</v>
      </c>
      <c r="F131" s="329">
        <v>29088.42</v>
      </c>
      <c r="G131" s="329">
        <v>174053.62</v>
      </c>
      <c r="H131" s="329">
        <f t="shared" si="33"/>
        <v>975242.28978774836</v>
      </c>
      <c r="I131" s="41">
        <f t="shared" si="1"/>
        <v>801188.66978774837</v>
      </c>
      <c r="J131" s="826">
        <f t="shared" si="2"/>
        <v>0.82152781742280578</v>
      </c>
      <c r="K131" s="517">
        <f t="shared" si="34"/>
        <v>975242.28978774825</v>
      </c>
    </row>
    <row r="132" spans="1:11" ht="12.75" customHeight="1" x14ac:dyDescent="0.25">
      <c r="A132" s="828" t="s">
        <v>724</v>
      </c>
      <c r="B132" s="142"/>
      <c r="C132" s="111">
        <f t="shared" ref="C132:H132" si="35">SUM(C133:C135)</f>
        <v>2054344.7782026273</v>
      </c>
      <c r="D132" s="43">
        <f t="shared" si="35"/>
        <v>2084810.0933878408</v>
      </c>
      <c r="E132" s="41">
        <f t="shared" si="35"/>
        <v>2084810.0933878408</v>
      </c>
      <c r="F132" s="41">
        <f t="shared" si="35"/>
        <v>329832.02000000008</v>
      </c>
      <c r="G132" s="41">
        <f t="shared" si="35"/>
        <v>1973583.2899999998</v>
      </c>
      <c r="H132" s="41">
        <f t="shared" si="35"/>
        <v>2084810.0933878408</v>
      </c>
      <c r="I132" s="221">
        <f t="shared" si="1"/>
        <v>111226.80338784098</v>
      </c>
      <c r="J132" s="829">
        <f t="shared" si="2"/>
        <v>5.3351048011810093E-2</v>
      </c>
      <c r="K132" s="119">
        <f>SUM(K133:K135)</f>
        <v>2084810.0933878408</v>
      </c>
    </row>
    <row r="133" spans="1:11" ht="12.75" customHeight="1" x14ac:dyDescent="0.25">
      <c r="A133" s="694" t="s">
        <v>1343</v>
      </c>
      <c r="B133" s="142"/>
      <c r="C133" s="526">
        <v>0</v>
      </c>
      <c r="D133" s="531">
        <v>0</v>
      </c>
      <c r="E133" s="329">
        <v>0</v>
      </c>
      <c r="F133" s="329">
        <v>0</v>
      </c>
      <c r="G133" s="329">
        <v>0</v>
      </c>
      <c r="H133" s="329">
        <f>E133/12*$L$1</f>
        <v>0</v>
      </c>
      <c r="I133" s="41">
        <f t="shared" si="1"/>
        <v>0</v>
      </c>
      <c r="J133" s="826" t="str">
        <f t="shared" si="2"/>
        <v/>
      </c>
      <c r="K133" s="517">
        <f>E133</f>
        <v>0</v>
      </c>
    </row>
    <row r="134" spans="1:11" ht="12.75" customHeight="1" x14ac:dyDescent="0.25">
      <c r="A134" s="694" t="s">
        <v>1344</v>
      </c>
      <c r="B134" s="142"/>
      <c r="C134" s="526">
        <v>2054344.7782026273</v>
      </c>
      <c r="D134" s="531">
        <v>2084810.0933878408</v>
      </c>
      <c r="E134" s="329">
        <v>2084810.0933878408</v>
      </c>
      <c r="F134" s="329">
        <v>329832.02000000008</v>
      </c>
      <c r="G134" s="329">
        <v>1973583.2899999998</v>
      </c>
      <c r="H134" s="329">
        <f>E134/12*$L$1</f>
        <v>2084810.0933878408</v>
      </c>
      <c r="I134" s="41">
        <f t="shared" si="1"/>
        <v>111226.80338784098</v>
      </c>
      <c r="J134" s="826">
        <f t="shared" si="2"/>
        <v>5.3351048011810093E-2</v>
      </c>
      <c r="K134" s="517">
        <f>E134</f>
        <v>2084810.0933878408</v>
      </c>
    </row>
    <row r="135" spans="1:11" ht="12.75" customHeight="1" x14ac:dyDescent="0.25">
      <c r="A135" s="694" t="s">
        <v>1253</v>
      </c>
      <c r="B135" s="142"/>
      <c r="C135" s="526">
        <v>0</v>
      </c>
      <c r="D135" s="531">
        <v>0</v>
      </c>
      <c r="E135" s="329">
        <v>0</v>
      </c>
      <c r="F135" s="329">
        <v>0</v>
      </c>
      <c r="G135" s="329">
        <v>0</v>
      </c>
      <c r="H135" s="329">
        <f>E135/12*$L$1</f>
        <v>0</v>
      </c>
      <c r="I135" s="41">
        <f t="shared" si="1"/>
        <v>0</v>
      </c>
      <c r="J135" s="826" t="str">
        <f t="shared" si="2"/>
        <v/>
      </c>
      <c r="K135" s="517">
        <f>E135</f>
        <v>0</v>
      </c>
    </row>
    <row r="136" spans="1:11" ht="5.0999999999999996" customHeight="1" x14ac:dyDescent="0.25">
      <c r="A136" s="828"/>
      <c r="B136" s="142"/>
      <c r="C136" s="111"/>
      <c r="D136" s="221"/>
      <c r="E136" s="41"/>
      <c r="F136" s="41"/>
      <c r="G136" s="41"/>
      <c r="H136" s="41"/>
      <c r="I136" s="41"/>
      <c r="J136" s="826" t="str">
        <f t="shared" si="2"/>
        <v/>
      </c>
      <c r="K136" s="119"/>
    </row>
    <row r="137" spans="1:11" ht="12.75" customHeight="1" x14ac:dyDescent="0.25">
      <c r="A137" s="32" t="s">
        <v>1345</v>
      </c>
      <c r="B137" s="142"/>
      <c r="C137" s="472">
        <f t="shared" ref="C137:H137" si="36">SUM(C138:C138)</f>
        <v>4024.2162703488543</v>
      </c>
      <c r="D137" s="830">
        <f t="shared" si="36"/>
        <v>4083.8941872936944</v>
      </c>
      <c r="E137" s="474">
        <f t="shared" si="36"/>
        <v>4083.8941872936944</v>
      </c>
      <c r="F137" s="474">
        <f t="shared" si="36"/>
        <v>690.35</v>
      </c>
      <c r="G137" s="474">
        <f t="shared" si="36"/>
        <v>4130.7700000000004</v>
      </c>
      <c r="H137" s="474">
        <f t="shared" si="36"/>
        <v>4083.8941872936948</v>
      </c>
      <c r="I137" s="474">
        <f>H137-G137</f>
        <v>-46.875812706305624</v>
      </c>
      <c r="J137" s="832">
        <f t="shared" si="2"/>
        <v>-1.1478214311269698E-2</v>
      </c>
      <c r="K137" s="476">
        <f>SUM(K138)</f>
        <v>4083.8941872936944</v>
      </c>
    </row>
    <row r="138" spans="1:11" ht="12.75" customHeight="1" x14ac:dyDescent="0.25">
      <c r="A138" s="828" t="s">
        <v>1345</v>
      </c>
      <c r="B138" s="142"/>
      <c r="C138" s="526">
        <v>4024.2162703488543</v>
      </c>
      <c r="D138" s="531">
        <v>4083.8941872936944</v>
      </c>
      <c r="E138" s="329">
        <v>4083.8941872936944</v>
      </c>
      <c r="F138" s="329">
        <v>690.35</v>
      </c>
      <c r="G138" s="329">
        <v>4130.7700000000004</v>
      </c>
      <c r="H138" s="329">
        <f>E138/12*$L$1</f>
        <v>4083.8941872936948</v>
      </c>
      <c r="I138" s="41">
        <f>H138-G138</f>
        <v>-46.875812706305624</v>
      </c>
      <c r="J138" s="826">
        <f t="shared" si="2"/>
        <v>-1.1478214311269698E-2</v>
      </c>
      <c r="K138" s="517">
        <f>E138</f>
        <v>4083.8941872936944</v>
      </c>
    </row>
    <row r="139" spans="1:11" ht="5.0999999999999996" customHeight="1" x14ac:dyDescent="0.25">
      <c r="A139" s="39"/>
      <c r="B139" s="142"/>
      <c r="C139" s="111"/>
      <c r="D139" s="221"/>
      <c r="E139" s="41"/>
      <c r="F139" s="41"/>
      <c r="G139" s="41"/>
      <c r="H139" s="41"/>
      <c r="I139" s="41"/>
      <c r="J139" s="826" t="str">
        <f t="shared" ref="J139:J148" si="37">IF(I139=0,"",I139/H139)</f>
        <v/>
      </c>
      <c r="K139" s="119"/>
    </row>
    <row r="140" spans="1:11" ht="12.75" customHeight="1" x14ac:dyDescent="0.25">
      <c r="A140" s="32" t="s">
        <v>1346</v>
      </c>
      <c r="B140" s="142"/>
      <c r="C140" s="472">
        <f t="shared" ref="C140:H140" si="38">SUM(C141:C142)</f>
        <v>506188.456661598</v>
      </c>
      <c r="D140" s="830">
        <f>+D141+D142</f>
        <v>513695.07922998921</v>
      </c>
      <c r="E140" s="474">
        <f>+E141+E142</f>
        <v>513695.07922998921</v>
      </c>
      <c r="F140" s="474">
        <f t="shared" si="38"/>
        <v>-23571.070000000007</v>
      </c>
      <c r="G140" s="474">
        <f t="shared" si="38"/>
        <v>284563</v>
      </c>
      <c r="H140" s="474">
        <f t="shared" si="38"/>
        <v>513695.07922998921</v>
      </c>
      <c r="I140" s="474">
        <f t="shared" ref="I140:I148" si="39">H140-G140</f>
        <v>229132.07922998921</v>
      </c>
      <c r="J140" s="832">
        <f t="shared" si="37"/>
        <v>0.44604686416979134</v>
      </c>
      <c r="K140" s="476">
        <f>SUM(K141:K142)</f>
        <v>513695.07922998921</v>
      </c>
    </row>
    <row r="141" spans="1:11" ht="12.75" customHeight="1" x14ac:dyDescent="0.25">
      <c r="A141" s="828" t="s">
        <v>1347</v>
      </c>
      <c r="B141" s="142"/>
      <c r="C141" s="526">
        <v>41648.82203709321</v>
      </c>
      <c r="D141" s="531">
        <v>42266.46154138472</v>
      </c>
      <c r="E141" s="329">
        <v>42266.46154138472</v>
      </c>
      <c r="F141" s="329">
        <v>0</v>
      </c>
      <c r="G141" s="329">
        <v>0</v>
      </c>
      <c r="H141" s="329">
        <f>E141/12*$L$1</f>
        <v>42266.46154138472</v>
      </c>
      <c r="I141" s="41">
        <f t="shared" si="39"/>
        <v>42266.46154138472</v>
      </c>
      <c r="J141" s="826">
        <f t="shared" si="37"/>
        <v>1</v>
      </c>
      <c r="K141" s="517">
        <f>E141</f>
        <v>42266.46154138472</v>
      </c>
    </row>
    <row r="142" spans="1:11" ht="12.75" customHeight="1" x14ac:dyDescent="0.25">
      <c r="A142" s="828" t="s">
        <v>1348</v>
      </c>
      <c r="B142" s="142"/>
      <c r="C142" s="111">
        <f t="shared" ref="C142:H142" si="40">SUM(C143:C148)</f>
        <v>464539.63462450478</v>
      </c>
      <c r="D142" s="43">
        <f t="shared" si="40"/>
        <v>471428.61768860446</v>
      </c>
      <c r="E142" s="41">
        <f t="shared" si="40"/>
        <v>471428.61768860446</v>
      </c>
      <c r="F142" s="41">
        <f t="shared" si="40"/>
        <v>-23571.070000000007</v>
      </c>
      <c r="G142" s="41">
        <f t="shared" si="40"/>
        <v>284563</v>
      </c>
      <c r="H142" s="41">
        <f t="shared" si="40"/>
        <v>471428.61768860446</v>
      </c>
      <c r="I142" s="221">
        <f t="shared" si="39"/>
        <v>186865.61768860446</v>
      </c>
      <c r="J142" s="829">
        <f t="shared" si="37"/>
        <v>0.39638157438298732</v>
      </c>
      <c r="K142" s="119">
        <f>SUM(K143:K148)</f>
        <v>471428.61768860446</v>
      </c>
    </row>
    <row r="143" spans="1:11" ht="12.75" customHeight="1" x14ac:dyDescent="0.25">
      <c r="A143" s="694" t="s">
        <v>1349</v>
      </c>
      <c r="B143" s="142"/>
      <c r="C143" s="526">
        <v>0</v>
      </c>
      <c r="D143" s="531">
        <v>0</v>
      </c>
      <c r="E143" s="329">
        <v>0</v>
      </c>
      <c r="F143" s="329">
        <v>7144.82</v>
      </c>
      <c r="G143" s="329">
        <v>42751.78</v>
      </c>
      <c r="H143" s="329">
        <f t="shared" ref="H143:H148" si="41">E143/12*$L$1</f>
        <v>0</v>
      </c>
      <c r="I143" s="41">
        <f t="shared" si="39"/>
        <v>-42751.78</v>
      </c>
      <c r="J143" s="826" t="e">
        <f t="shared" si="37"/>
        <v>#DIV/0!</v>
      </c>
      <c r="K143" s="517">
        <f t="shared" ref="K143:K148" si="42">E143</f>
        <v>0</v>
      </c>
    </row>
    <row r="144" spans="1:11" ht="12.75" customHeight="1" x14ac:dyDescent="0.25">
      <c r="A144" s="694" t="s">
        <v>1350</v>
      </c>
      <c r="B144" s="142"/>
      <c r="C144" s="526">
        <v>0</v>
      </c>
      <c r="D144" s="531">
        <v>0</v>
      </c>
      <c r="E144" s="329">
        <v>0</v>
      </c>
      <c r="F144" s="329">
        <v>0</v>
      </c>
      <c r="G144" s="329">
        <v>0</v>
      </c>
      <c r="H144" s="329">
        <f t="shared" si="41"/>
        <v>0</v>
      </c>
      <c r="I144" s="41">
        <f t="shared" si="39"/>
        <v>0</v>
      </c>
      <c r="J144" s="826" t="str">
        <f t="shared" si="37"/>
        <v/>
      </c>
      <c r="K144" s="517">
        <f t="shared" si="42"/>
        <v>0</v>
      </c>
    </row>
    <row r="145" spans="1:11" ht="12.75" customHeight="1" x14ac:dyDescent="0.25">
      <c r="A145" s="694" t="s">
        <v>1351</v>
      </c>
      <c r="B145" s="142"/>
      <c r="C145" s="526">
        <v>0</v>
      </c>
      <c r="D145" s="531">
        <v>0</v>
      </c>
      <c r="E145" s="329">
        <v>0</v>
      </c>
      <c r="F145" s="329">
        <v>0</v>
      </c>
      <c r="G145" s="329">
        <v>0</v>
      </c>
      <c r="H145" s="329">
        <f t="shared" si="41"/>
        <v>0</v>
      </c>
      <c r="I145" s="41">
        <f t="shared" si="39"/>
        <v>0</v>
      </c>
      <c r="J145" s="826" t="str">
        <f t="shared" si="37"/>
        <v/>
      </c>
      <c r="K145" s="517">
        <f t="shared" si="42"/>
        <v>0</v>
      </c>
    </row>
    <row r="146" spans="1:11" ht="12.75" customHeight="1" x14ac:dyDescent="0.25">
      <c r="A146" s="694" t="s">
        <v>1352</v>
      </c>
      <c r="B146" s="142"/>
      <c r="C146" s="526">
        <v>463669.87582591508</v>
      </c>
      <c r="D146" s="531">
        <v>470545.96062862489</v>
      </c>
      <c r="E146" s="329">
        <v>470545.96062862489</v>
      </c>
      <c r="F146" s="329">
        <v>-30715.890000000007</v>
      </c>
      <c r="G146" s="329">
        <v>241811.22</v>
      </c>
      <c r="H146" s="329">
        <f t="shared" si="41"/>
        <v>470545.96062862489</v>
      </c>
      <c r="I146" s="41">
        <f t="shared" si="39"/>
        <v>228734.74062862489</v>
      </c>
      <c r="J146" s="826">
        <f t="shared" si="37"/>
        <v>0.48610499242847011</v>
      </c>
      <c r="K146" s="517">
        <f t="shared" si="42"/>
        <v>470545.96062862489</v>
      </c>
    </row>
    <row r="147" spans="1:11" ht="12.75" customHeight="1" x14ac:dyDescent="0.25">
      <c r="A147" s="694" t="s">
        <v>1353</v>
      </c>
      <c r="B147" s="142"/>
      <c r="C147" s="526">
        <v>0</v>
      </c>
      <c r="D147" s="531">
        <v>0</v>
      </c>
      <c r="E147" s="329">
        <v>0</v>
      </c>
      <c r="F147" s="329">
        <v>0</v>
      </c>
      <c r="G147" s="329">
        <v>0</v>
      </c>
      <c r="H147" s="329">
        <f t="shared" si="41"/>
        <v>0</v>
      </c>
      <c r="I147" s="41">
        <f t="shared" si="39"/>
        <v>0</v>
      </c>
      <c r="J147" s="826" t="str">
        <f t="shared" si="37"/>
        <v/>
      </c>
      <c r="K147" s="517">
        <f t="shared" si="42"/>
        <v>0</v>
      </c>
    </row>
    <row r="148" spans="1:11" ht="12.75" customHeight="1" x14ac:dyDescent="0.25">
      <c r="A148" s="694" t="s">
        <v>1354</v>
      </c>
      <c r="B148" s="142"/>
      <c r="C148" s="526">
        <v>869.75879858968221</v>
      </c>
      <c r="D148" s="531">
        <v>882.65705997954024</v>
      </c>
      <c r="E148" s="329">
        <v>882.65705997954024</v>
      </c>
      <c r="F148" s="329">
        <v>0</v>
      </c>
      <c r="G148" s="329">
        <v>0</v>
      </c>
      <c r="H148" s="329">
        <f t="shared" si="41"/>
        <v>882.65705997954024</v>
      </c>
      <c r="I148" s="41">
        <f t="shared" si="39"/>
        <v>882.65705997954024</v>
      </c>
      <c r="J148" s="826">
        <f t="shared" si="37"/>
        <v>1</v>
      </c>
      <c r="K148" s="517">
        <f t="shared" si="42"/>
        <v>882.65705997954024</v>
      </c>
    </row>
    <row r="149" spans="1:11" ht="5.25" customHeight="1" x14ac:dyDescent="0.25">
      <c r="A149" s="39"/>
      <c r="B149" s="142"/>
      <c r="C149" s="833"/>
      <c r="D149" s="834"/>
      <c r="E149" s="419"/>
      <c r="F149" s="419"/>
      <c r="G149" s="419"/>
      <c r="H149" s="419"/>
      <c r="I149" s="41"/>
      <c r="J149" s="826"/>
      <c r="K149" s="420"/>
    </row>
    <row r="150" spans="1:11" ht="12.75" customHeight="1" x14ac:dyDescent="0.25">
      <c r="A150" s="32" t="s">
        <v>1355</v>
      </c>
      <c r="B150" s="142"/>
      <c r="C150" s="472">
        <f t="shared" ref="C150:H150" si="43">SUM(C151:C151)</f>
        <v>1065309.9987360046</v>
      </c>
      <c r="D150" s="830">
        <f t="shared" si="43"/>
        <v>1081108.2256090257</v>
      </c>
      <c r="E150" s="474">
        <f t="shared" si="43"/>
        <v>1081108.2256090257</v>
      </c>
      <c r="F150" s="474">
        <f t="shared" si="43"/>
        <v>155405.32999999993</v>
      </c>
      <c r="G150" s="474">
        <f t="shared" si="43"/>
        <v>1301239.9400000002</v>
      </c>
      <c r="H150" s="474">
        <f t="shared" si="43"/>
        <v>1081108.2256090257</v>
      </c>
      <c r="I150" s="474">
        <f>H150-G150</f>
        <v>-220131.71439097449</v>
      </c>
      <c r="J150" s="832">
        <f>IF(I150=0,"",I150/H150)</f>
        <v>-0.20361672326280442</v>
      </c>
      <c r="K150" s="476">
        <f>SUM(K151)</f>
        <v>1081108.2256090257</v>
      </c>
    </row>
    <row r="151" spans="1:11" ht="12.75" customHeight="1" x14ac:dyDescent="0.25">
      <c r="A151" s="828" t="s">
        <v>1355</v>
      </c>
      <c r="B151" s="142"/>
      <c r="C151" s="526">
        <v>1065309.9987360046</v>
      </c>
      <c r="D151" s="531">
        <v>1081108.2256090257</v>
      </c>
      <c r="E151" s="329">
        <v>1081108.2256090257</v>
      </c>
      <c r="F151" s="329">
        <v>155405.32999999993</v>
      </c>
      <c r="G151" s="329">
        <v>1301239.9400000002</v>
      </c>
      <c r="H151" s="329">
        <f>E151/12*$L$1</f>
        <v>1081108.2256090257</v>
      </c>
      <c r="I151" s="41">
        <f>H151-G151</f>
        <v>-220131.71439097449</v>
      </c>
      <c r="J151" s="826">
        <f>IF(I151=0,"",I151/H151)</f>
        <v>-0.20361672326280442</v>
      </c>
      <c r="K151" s="517">
        <f>E151</f>
        <v>1081108.2256090257</v>
      </c>
    </row>
    <row r="152" spans="1:11" ht="5.0999999999999996" customHeight="1" x14ac:dyDescent="0.25">
      <c r="A152" s="39"/>
      <c r="B152" s="142"/>
      <c r="C152" s="111"/>
      <c r="D152" s="221"/>
      <c r="E152" s="41"/>
      <c r="F152" s="41"/>
      <c r="G152" s="41"/>
      <c r="H152" s="41"/>
      <c r="I152" s="41"/>
      <c r="J152" s="826"/>
      <c r="K152" s="119"/>
    </row>
    <row r="153" spans="1:11" ht="12.75" customHeight="1" x14ac:dyDescent="0.25">
      <c r="A153" s="32" t="s">
        <v>1356</v>
      </c>
      <c r="B153" s="142"/>
      <c r="C153" s="472">
        <f t="shared" ref="C153:H153" si="44">SUM(C154:C154)</f>
        <v>826632.25069378945</v>
      </c>
      <c r="D153" s="830">
        <f t="shared" si="44"/>
        <v>838890.95834931848</v>
      </c>
      <c r="E153" s="474">
        <f t="shared" si="44"/>
        <v>838890.95834931848</v>
      </c>
      <c r="F153" s="474">
        <f t="shared" si="44"/>
        <v>63178.799999999988</v>
      </c>
      <c r="G153" s="474">
        <f t="shared" si="44"/>
        <v>468382.04999999981</v>
      </c>
      <c r="H153" s="474">
        <f t="shared" si="44"/>
        <v>838890.95834931848</v>
      </c>
      <c r="I153" s="474">
        <f>H153-G153</f>
        <v>370508.90834931866</v>
      </c>
      <c r="J153" s="832">
        <f>IF(I153=0,"",I153/H153)</f>
        <v>0.44166515881678731</v>
      </c>
      <c r="K153" s="476">
        <f>SUM(K154)</f>
        <v>838890.95834931848</v>
      </c>
    </row>
    <row r="154" spans="1:11" ht="12.75" customHeight="1" x14ac:dyDescent="0.25">
      <c r="A154" s="828" t="s">
        <v>1356</v>
      </c>
      <c r="B154" s="142"/>
      <c r="C154" s="526">
        <v>826632.25069378945</v>
      </c>
      <c r="D154" s="531">
        <v>838890.95834931848</v>
      </c>
      <c r="E154" s="329">
        <v>838890.95834931848</v>
      </c>
      <c r="F154" s="329">
        <v>63178.799999999988</v>
      </c>
      <c r="G154" s="329">
        <v>468382.04999999981</v>
      </c>
      <c r="H154" s="329">
        <f>E154/12*$L$1</f>
        <v>838890.95834931848</v>
      </c>
      <c r="I154" s="41">
        <f>H154-G154</f>
        <v>370508.90834931866</v>
      </c>
      <c r="J154" s="826">
        <f>IF(I154=0,"",I154/H154)</f>
        <v>0.44166515881678731</v>
      </c>
      <c r="K154" s="517">
        <f>E154</f>
        <v>838890.95834931848</v>
      </c>
    </row>
    <row r="155" spans="1:11" ht="5.0999999999999996" customHeight="1" x14ac:dyDescent="0.25">
      <c r="A155" s="39"/>
      <c r="B155" s="142"/>
      <c r="C155" s="111"/>
      <c r="D155" s="221"/>
      <c r="E155" s="41"/>
      <c r="F155" s="41"/>
      <c r="G155" s="41"/>
      <c r="H155" s="41"/>
      <c r="I155" s="41"/>
      <c r="J155" s="826" t="str">
        <f>IF(I155=0,"",I155/H155)</f>
        <v/>
      </c>
      <c r="K155" s="119"/>
    </row>
    <row r="156" spans="1:11" ht="12.75" customHeight="1" x14ac:dyDescent="0.25">
      <c r="A156" s="32" t="s">
        <v>1357</v>
      </c>
      <c r="B156" s="142"/>
      <c r="C156" s="472">
        <f t="shared" ref="C156:H156" si="45">SUM(C157:C157)</f>
        <v>2865586.3683520094</v>
      </c>
      <c r="D156" s="830">
        <f t="shared" si="45"/>
        <v>2908082.1078601</v>
      </c>
      <c r="E156" s="474">
        <f t="shared" si="45"/>
        <v>2908082.1078601</v>
      </c>
      <c r="F156" s="474">
        <f t="shared" si="45"/>
        <v>283387.94</v>
      </c>
      <c r="G156" s="474">
        <f t="shared" si="45"/>
        <v>2130646.6800000002</v>
      </c>
      <c r="H156" s="474">
        <f t="shared" si="45"/>
        <v>2908082.1078601</v>
      </c>
      <c r="I156" s="474">
        <f>H156-G156</f>
        <v>777435.42786009982</v>
      </c>
      <c r="J156" s="832">
        <f>IF(I156=0,"",I156/H156)</f>
        <v>0.26733613392785954</v>
      </c>
      <c r="K156" s="476">
        <f>SUM(K157)</f>
        <v>2908082.1078601</v>
      </c>
    </row>
    <row r="157" spans="1:11" ht="12.75" customHeight="1" x14ac:dyDescent="0.25">
      <c r="A157" s="828" t="s">
        <v>1357</v>
      </c>
      <c r="B157" s="142"/>
      <c r="C157" s="526">
        <v>2865586.3683520094</v>
      </c>
      <c r="D157" s="531">
        <v>2908082.1078601</v>
      </c>
      <c r="E157" s="329">
        <v>2908082.1078601</v>
      </c>
      <c r="F157" s="329">
        <v>283387.94</v>
      </c>
      <c r="G157" s="329">
        <v>2130646.6800000002</v>
      </c>
      <c r="H157" s="329">
        <f>E157/12*$L$1</f>
        <v>2908082.1078601</v>
      </c>
      <c r="I157" s="41">
        <f>H157-G157</f>
        <v>777435.42786009982</v>
      </c>
      <c r="J157" s="826">
        <f>IF(I157=0,"",I157/H157)</f>
        <v>0.26733613392785954</v>
      </c>
      <c r="K157" s="517">
        <f>E157</f>
        <v>2908082.1078601</v>
      </c>
    </row>
    <row r="158" spans="1:11" ht="5.0999999999999996" customHeight="1" x14ac:dyDescent="0.25">
      <c r="A158" s="39"/>
      <c r="B158" s="142"/>
      <c r="C158" s="111"/>
      <c r="D158" s="221"/>
      <c r="E158" s="41"/>
      <c r="F158" s="41"/>
      <c r="G158" s="41"/>
      <c r="H158" s="41"/>
      <c r="I158" s="41"/>
      <c r="J158" s="826"/>
      <c r="K158" s="119"/>
    </row>
    <row r="159" spans="1:11" ht="12.75" customHeight="1" x14ac:dyDescent="0.25">
      <c r="A159" s="32" t="s">
        <v>1358</v>
      </c>
      <c r="B159" s="142"/>
      <c r="C159" s="472">
        <f t="shared" ref="C159:H159" si="46">SUM(C160:C160)</f>
        <v>2469135.5363819911</v>
      </c>
      <c r="D159" s="830">
        <f t="shared" si="46"/>
        <v>2505752.0737564559</v>
      </c>
      <c r="E159" s="474">
        <f t="shared" si="46"/>
        <v>2505752.0737564559</v>
      </c>
      <c r="F159" s="474">
        <f t="shared" si="46"/>
        <v>764891.24</v>
      </c>
      <c r="G159" s="474">
        <f t="shared" si="46"/>
        <v>4524709.33</v>
      </c>
      <c r="H159" s="474">
        <f t="shared" si="46"/>
        <v>2505752.0737564559</v>
      </c>
      <c r="I159" s="474">
        <f>H159-G159</f>
        <v>-2018957.2562435442</v>
      </c>
      <c r="J159" s="832">
        <f>IF(I159=0,"",I159/H159)</f>
        <v>-0.80572905731126798</v>
      </c>
      <c r="K159" s="476">
        <f>SUM(K160)</f>
        <v>2505752.0737564559</v>
      </c>
    </row>
    <row r="160" spans="1:11" ht="12.75" customHeight="1" x14ac:dyDescent="0.25">
      <c r="A160" s="828" t="s">
        <v>1358</v>
      </c>
      <c r="B160" s="142"/>
      <c r="C160" s="526">
        <v>2469135.5363819911</v>
      </c>
      <c r="D160" s="531">
        <v>2505752.0737564559</v>
      </c>
      <c r="E160" s="329">
        <v>2505752.0737564559</v>
      </c>
      <c r="F160" s="329">
        <v>764891.24</v>
      </c>
      <c r="G160" s="329">
        <v>4524709.33</v>
      </c>
      <c r="H160" s="329">
        <f>E160/12*$L$1</f>
        <v>2505752.0737564559</v>
      </c>
      <c r="I160" s="41">
        <f>H160-G160</f>
        <v>-2018957.2562435442</v>
      </c>
      <c r="J160" s="826">
        <f>IF(I160=0,"",I160/H160)</f>
        <v>-0.80572905731126798</v>
      </c>
      <c r="K160" s="517">
        <f>E160</f>
        <v>2505752.0737564559</v>
      </c>
    </row>
    <row r="161" spans="1:11" ht="5.0999999999999996" customHeight="1" x14ac:dyDescent="0.25">
      <c r="A161" s="39"/>
      <c r="B161" s="142"/>
      <c r="C161" s="111"/>
      <c r="D161" s="221"/>
      <c r="E161" s="41"/>
      <c r="F161" s="41"/>
      <c r="G161" s="41"/>
      <c r="H161" s="41"/>
      <c r="I161" s="41"/>
      <c r="J161" s="826"/>
      <c r="K161" s="119"/>
    </row>
    <row r="162" spans="1:11" ht="12.75" customHeight="1" x14ac:dyDescent="0.25">
      <c r="A162" s="32" t="s">
        <v>1367</v>
      </c>
      <c r="B162" s="142"/>
      <c r="C162" s="472">
        <f t="shared" ref="C162:H162" si="47">SUM(C163:C163)</f>
        <v>0</v>
      </c>
      <c r="D162" s="830">
        <f t="shared" si="47"/>
        <v>0</v>
      </c>
      <c r="E162" s="474">
        <f t="shared" si="47"/>
        <v>0</v>
      </c>
      <c r="F162" s="474">
        <f t="shared" si="47"/>
        <v>0</v>
      </c>
      <c r="G162" s="474">
        <f t="shared" si="47"/>
        <v>0</v>
      </c>
      <c r="H162" s="474">
        <f t="shared" si="47"/>
        <v>0</v>
      </c>
      <c r="I162" s="474">
        <f>H162-G162</f>
        <v>0</v>
      </c>
      <c r="J162" s="832" t="str">
        <f>IF(I162=0,"",I162/H162)</f>
        <v/>
      </c>
      <c r="K162" s="476">
        <f>SUM(K163)</f>
        <v>0</v>
      </c>
    </row>
    <row r="163" spans="1:11" ht="12.75" customHeight="1" x14ac:dyDescent="0.25">
      <c r="A163" s="828" t="s">
        <v>1367</v>
      </c>
      <c r="B163" s="142"/>
      <c r="C163" s="526">
        <v>0</v>
      </c>
      <c r="D163" s="531">
        <v>0</v>
      </c>
      <c r="E163" s="329">
        <v>0</v>
      </c>
      <c r="F163" s="329">
        <v>0</v>
      </c>
      <c r="G163" s="329">
        <v>0</v>
      </c>
      <c r="H163" s="329">
        <f>E163/12*$L$1</f>
        <v>0</v>
      </c>
      <c r="I163" s="41">
        <f>H163-G163</f>
        <v>0</v>
      </c>
      <c r="J163" s="826" t="str">
        <f>IF(I163=0,"",I163/H163)</f>
        <v/>
      </c>
      <c r="K163" s="517">
        <f>E163</f>
        <v>0</v>
      </c>
    </row>
    <row r="164" spans="1:11" ht="5.0999999999999996" customHeight="1" x14ac:dyDescent="0.25">
      <c r="A164" s="39"/>
      <c r="B164" s="142"/>
      <c r="C164" s="111"/>
      <c r="D164" s="221"/>
      <c r="E164" s="41"/>
      <c r="F164" s="41"/>
      <c r="G164" s="41"/>
      <c r="H164" s="41"/>
      <c r="I164" s="41"/>
      <c r="J164" s="826"/>
      <c r="K164" s="119"/>
    </row>
    <row r="165" spans="1:11" ht="12.75" customHeight="1" x14ac:dyDescent="0.25">
      <c r="A165" s="32" t="s">
        <v>1359</v>
      </c>
      <c r="B165" s="142"/>
      <c r="C165" s="472">
        <f t="shared" ref="C165:H165" si="48">SUM(C166:C166)</f>
        <v>0</v>
      </c>
      <c r="D165" s="830">
        <f t="shared" si="48"/>
        <v>0</v>
      </c>
      <c r="E165" s="474">
        <f t="shared" si="48"/>
        <v>0</v>
      </c>
      <c r="F165" s="474">
        <f t="shared" si="48"/>
        <v>0</v>
      </c>
      <c r="G165" s="474">
        <f t="shared" si="48"/>
        <v>0</v>
      </c>
      <c r="H165" s="474">
        <f t="shared" si="48"/>
        <v>0</v>
      </c>
      <c r="I165" s="474">
        <f>H165-G165</f>
        <v>0</v>
      </c>
      <c r="J165" s="832" t="str">
        <f>IF(I165=0,"",I165/H165)</f>
        <v/>
      </c>
      <c r="K165" s="476">
        <f>SUM(K166)</f>
        <v>0</v>
      </c>
    </row>
    <row r="166" spans="1:11" ht="12.75" customHeight="1" x14ac:dyDescent="0.25">
      <c r="A166" s="828" t="s">
        <v>1359</v>
      </c>
      <c r="B166" s="142"/>
      <c r="C166" s="526">
        <v>0</v>
      </c>
      <c r="D166" s="531">
        <v>0</v>
      </c>
      <c r="E166" s="329">
        <v>0</v>
      </c>
      <c r="F166" s="329">
        <v>0</v>
      </c>
      <c r="G166" s="329">
        <v>0</v>
      </c>
      <c r="H166" s="329">
        <f>E166/12*$L$1</f>
        <v>0</v>
      </c>
      <c r="I166" s="41">
        <f>H166-G166</f>
        <v>0</v>
      </c>
      <c r="J166" s="826" t="str">
        <f>IF(I166=0,"",I166/H166)</f>
        <v/>
      </c>
      <c r="K166" s="517">
        <f>E166</f>
        <v>0</v>
      </c>
    </row>
    <row r="167" spans="1:11" ht="5.0999999999999996" customHeight="1" x14ac:dyDescent="0.25">
      <c r="A167" s="828"/>
      <c r="B167" s="142"/>
      <c r="C167" s="111"/>
      <c r="D167" s="221"/>
      <c r="E167" s="41"/>
      <c r="F167" s="41"/>
      <c r="G167" s="41"/>
      <c r="H167" s="41"/>
      <c r="I167" s="41"/>
      <c r="J167" s="826" t="str">
        <f>IF(I167=0,"",I167/H167)</f>
        <v/>
      </c>
      <c r="K167" s="119"/>
    </row>
    <row r="168" spans="1:11" ht="12.75" customHeight="1" x14ac:dyDescent="0.25">
      <c r="A168" s="49" t="s">
        <v>1091</v>
      </c>
      <c r="B168" s="199">
        <v>1</v>
      </c>
      <c r="C168" s="94">
        <f t="shared" ref="C168:H168" si="49">C7+C75+C104+C111+C119+C137+C140+C150+C153+C156+C159+C162+C165</f>
        <v>85049395.029999986</v>
      </c>
      <c r="D168" s="230">
        <f t="shared" si="49"/>
        <v>86305366</v>
      </c>
      <c r="E168" s="51">
        <f t="shared" si="49"/>
        <v>86305366</v>
      </c>
      <c r="F168" s="51">
        <f t="shared" si="49"/>
        <v>13309811.330000002</v>
      </c>
      <c r="G168" s="51">
        <f t="shared" si="49"/>
        <v>83910903.950000018</v>
      </c>
      <c r="H168" s="51">
        <f t="shared" si="49"/>
        <v>86305366</v>
      </c>
      <c r="I168" s="51">
        <f t="shared" si="1"/>
        <v>2394462.0499999821</v>
      </c>
      <c r="J168" s="835">
        <f t="shared" si="2"/>
        <v>2.7744069238985467E-2</v>
      </c>
      <c r="K168" s="198">
        <f>K7+K75+K104+K111+K119+K137+K140+K150+K153+K156+K159+K162+K165</f>
        <v>86305366</v>
      </c>
    </row>
    <row r="169" spans="1:11" ht="12.75" customHeight="1" x14ac:dyDescent="0.25">
      <c r="A169" s="78"/>
      <c r="C169" s="55"/>
      <c r="D169" s="55"/>
      <c r="E169" s="55"/>
      <c r="F169" s="55"/>
      <c r="G169" s="55"/>
      <c r="H169" s="55"/>
      <c r="I169" s="55"/>
      <c r="J169" s="55"/>
      <c r="K169" s="381"/>
    </row>
    <row r="170" spans="1:11" ht="11.25" customHeight="1" x14ac:dyDescent="0.25">
      <c r="A170" s="78"/>
      <c r="C170" s="55"/>
      <c r="D170" s="55"/>
      <c r="E170" s="55"/>
      <c r="F170" s="55"/>
      <c r="G170" s="55"/>
      <c r="H170" s="55"/>
      <c r="I170" s="55"/>
      <c r="J170" s="55"/>
      <c r="K170" s="381"/>
    </row>
    <row r="171" spans="1:11" ht="11.25" customHeight="1" x14ac:dyDescent="0.25">
      <c r="A171" s="678" t="s">
        <v>733</v>
      </c>
      <c r="B171" s="679"/>
      <c r="C171" s="838">
        <f>C168-'C4-FinPerf RE'!C28</f>
        <v>0</v>
      </c>
      <c r="D171" s="838">
        <f>D168-'C4-FinPerf RE'!D28</f>
        <v>0</v>
      </c>
      <c r="E171" s="838">
        <f>E168-'C4-FinPerf RE'!E28</f>
        <v>0</v>
      </c>
      <c r="F171" s="838">
        <f>F168-'C4-FinPerf RE'!F28</f>
        <v>0</v>
      </c>
      <c r="G171" s="838">
        <f>G168-'C4-FinPerf RE'!G28</f>
        <v>0</v>
      </c>
      <c r="H171" s="838">
        <f>H168-'C4-FinPerf RE'!H28</f>
        <v>0</v>
      </c>
      <c r="I171" s="838"/>
      <c r="J171" s="838"/>
      <c r="K171" s="839">
        <f>K168-'C4-FinPerf RE'!K28</f>
        <v>0</v>
      </c>
    </row>
  </sheetData>
  <mergeCells count="3">
    <mergeCell ref="A1:K1"/>
    <mergeCell ref="A2:A3"/>
    <mergeCell ref="B2:B3"/>
  </mergeCells>
  <printOptions horizontalCentered="1"/>
  <pageMargins left="0.19685039370078741" right="0.19685039370078741" top="0.39370078740157483" bottom="0.39370078740157483" header="0.51181102362204722" footer="0.51181102362204722"/>
  <pageSetup paperSize="9" scale="91" fitToHeight="3" orientation="portrait" r:id="rId1"/>
  <headerFooter alignWithMargins="0"/>
  <ignoredErrors>
    <ignoredError sqref="H7:K8 H9:J10 K9:K12 H11:I12" unlockedFormula="1"/>
    <ignoredError sqref="H13:I166 K13:K166" formula="1" unlockedFormula="1"/>
    <ignoredError sqref="H167:I168 K167:K168" formula="1"/>
    <ignoredError sqref="J11:J12" evalError="1" unlockedFormula="1"/>
    <ignoredError sqref="J13:J166" evalError="1" formula="1" unlockedFormula="1"/>
    <ignoredError sqref="J167:J168" evalError="1" formula="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2">
    <tabColor indexed="42"/>
    <pageSetUpPr fitToPage="1"/>
  </sheetPr>
  <dimension ref="A1:L171"/>
  <sheetViews>
    <sheetView showGridLines="0" view="pageBreakPreview" zoomScaleNormal="100" zoomScaleSheetLayoutView="100" workbookViewId="0">
      <pane ySplit="4" topLeftCell="A146" activePane="bottomLeft" state="frozen"/>
      <selection pane="bottomLeft" activeCell="G169" sqref="G169"/>
    </sheetView>
  </sheetViews>
  <sheetFormatPr defaultColWidth="9.140625" defaultRowHeight="12.75" x14ac:dyDescent="0.25"/>
  <cols>
    <col min="1" max="1" width="34.140625" style="22" customWidth="1"/>
    <col min="2" max="2" width="3.140625" style="54" customWidth="1"/>
    <col min="3" max="8" width="8.7109375" style="22" customWidth="1"/>
    <col min="9" max="10" width="6.7109375" style="22" customWidth="1"/>
    <col min="11" max="11" width="8.7109375" style="22" customWidth="1"/>
    <col min="12" max="12" width="9.85546875" style="22" hidden="1" customWidth="1"/>
    <col min="13" max="13" width="9.5703125" style="22" customWidth="1"/>
    <col min="14" max="14" width="9.85546875" style="22" customWidth="1"/>
    <col min="15" max="17" width="9.5703125" style="22" customWidth="1"/>
    <col min="18" max="18" width="9.85546875" style="22" customWidth="1"/>
    <col min="19" max="21" width="9.5703125" style="22" customWidth="1"/>
    <col min="22" max="23" width="9.85546875" style="22" customWidth="1"/>
    <col min="24" max="16384" width="9.140625" style="22"/>
  </cols>
  <sheetData>
    <row r="1" spans="1:12" ht="13.5" x14ac:dyDescent="0.25">
      <c r="A1" s="982" t="str">
        <f>muni&amp; " - "&amp;S71Se&amp; " - "&amp;Head57</f>
        <v>WC025 Breede Valley - Supporting Table SC13e Monthly Budget Statement - capital expenditure on upgrading of existing assets by asset class - Q4 Fourth Quarter</v>
      </c>
      <c r="B1" s="983"/>
      <c r="C1" s="983"/>
      <c r="D1" s="983"/>
      <c r="E1" s="983"/>
      <c r="F1" s="983"/>
      <c r="G1" s="983"/>
      <c r="H1" s="983"/>
      <c r="I1" s="983"/>
      <c r="J1" s="983"/>
      <c r="K1" s="984"/>
      <c r="L1" s="22">
        <v>12</v>
      </c>
    </row>
    <row r="2" spans="1:12" x14ac:dyDescent="0.25">
      <c r="A2" s="1038" t="str">
        <f>desc</f>
        <v>Description</v>
      </c>
      <c r="B2" s="1040" t="str">
        <f>head27</f>
        <v>Ref</v>
      </c>
      <c r="C2" s="815" t="str">
        <f>Head1</f>
        <v>2017/18</v>
      </c>
      <c r="D2" s="816" t="str">
        <f>Head2</f>
        <v>Budget Year 2018/19</v>
      </c>
      <c r="E2" s="817"/>
      <c r="F2" s="817"/>
      <c r="G2" s="817"/>
      <c r="H2" s="817"/>
      <c r="I2" s="817"/>
      <c r="J2" s="817"/>
      <c r="K2" s="818"/>
    </row>
    <row r="3" spans="1:12" ht="25.5" x14ac:dyDescent="0.25">
      <c r="A3" s="1039"/>
      <c r="B3" s="1041"/>
      <c r="C3" s="819" t="str">
        <f>Head5</f>
        <v>Audited Outcome</v>
      </c>
      <c r="D3" s="820" t="str">
        <f>Head6</f>
        <v>Original Budget</v>
      </c>
      <c r="E3" s="821" t="str">
        <f>Head7</f>
        <v>Adjusted Budget</v>
      </c>
      <c r="F3" s="821" t="str">
        <f>Head38</f>
        <v>Monthly actual</v>
      </c>
      <c r="G3" s="821" t="str">
        <f>Head39</f>
        <v>YearTD actual</v>
      </c>
      <c r="H3" s="821" t="str">
        <f>Head40</f>
        <v>YearTD budget</v>
      </c>
      <c r="I3" s="821" t="str">
        <f>Head41</f>
        <v>YTD variance</v>
      </c>
      <c r="J3" s="822" t="str">
        <f>Head41</f>
        <v>YTD variance</v>
      </c>
      <c r="K3" s="823" t="str">
        <f>Head8</f>
        <v>Full Year Forecast</v>
      </c>
    </row>
    <row r="4" spans="1:12" x14ac:dyDescent="0.25">
      <c r="A4" s="824" t="s">
        <v>678</v>
      </c>
      <c r="B4" s="211">
        <v>1</v>
      </c>
      <c r="C4" s="211"/>
      <c r="D4" s="253"/>
      <c r="E4" s="249"/>
      <c r="F4" s="825"/>
      <c r="G4" s="825"/>
      <c r="H4" s="825"/>
      <c r="I4" s="825"/>
      <c r="J4" s="300" t="s">
        <v>586</v>
      </c>
      <c r="K4" s="408"/>
    </row>
    <row r="5" spans="1:12" ht="12.75" customHeight="1" x14ac:dyDescent="0.25">
      <c r="A5" s="149" t="s">
        <v>1361</v>
      </c>
      <c r="B5" s="142"/>
      <c r="C5" s="111"/>
      <c r="D5" s="221"/>
      <c r="E5" s="41"/>
      <c r="F5" s="41"/>
      <c r="G5" s="41"/>
      <c r="H5" s="41"/>
      <c r="I5" s="41"/>
      <c r="J5" s="826"/>
      <c r="K5" s="119"/>
    </row>
    <row r="6" spans="1:12" ht="5.0999999999999996" customHeight="1" x14ac:dyDescent="0.25">
      <c r="A6" s="32"/>
      <c r="B6" s="142"/>
      <c r="C6" s="111"/>
      <c r="D6" s="221"/>
      <c r="E6" s="41"/>
      <c r="F6" s="41"/>
      <c r="G6" s="41"/>
      <c r="H6" s="41"/>
      <c r="I6" s="41"/>
      <c r="J6" s="826"/>
      <c r="K6" s="119"/>
    </row>
    <row r="7" spans="1:12" ht="12.75" customHeight="1" x14ac:dyDescent="0.25">
      <c r="A7" s="32" t="s">
        <v>654</v>
      </c>
      <c r="B7" s="142"/>
      <c r="C7" s="91">
        <f t="shared" ref="C7:H7" si="0">C8+C13+C17+C27+C38+C45+C53+C63+C69</f>
        <v>0</v>
      </c>
      <c r="D7" s="47">
        <f t="shared" si="0"/>
        <v>4080000</v>
      </c>
      <c r="E7" s="46">
        <f t="shared" si="0"/>
        <v>2964420</v>
      </c>
      <c r="F7" s="46">
        <f t="shared" si="0"/>
        <v>0</v>
      </c>
      <c r="G7" s="46">
        <f t="shared" si="0"/>
        <v>0</v>
      </c>
      <c r="H7" s="46">
        <f t="shared" si="0"/>
        <v>2964420</v>
      </c>
      <c r="I7" s="85">
        <f t="shared" ref="I7:I135" si="1">H7-G7</f>
        <v>2964420</v>
      </c>
      <c r="J7" s="827">
        <f t="shared" ref="J7:J138" si="2">IF(I7=0,"",I7/H7)</f>
        <v>1</v>
      </c>
      <c r="K7" s="159">
        <f>K8+K13+K17+K27+K38+K45+K53+K63+K69</f>
        <v>2964420</v>
      </c>
    </row>
    <row r="8" spans="1:12" ht="12.75" customHeight="1" x14ac:dyDescent="0.25">
      <c r="A8" s="828" t="s">
        <v>1250</v>
      </c>
      <c r="B8" s="142"/>
      <c r="C8" s="449">
        <f t="shared" ref="C8:H8" si="3">SUM(C9:C12)</f>
        <v>0</v>
      </c>
      <c r="D8" s="450">
        <f t="shared" si="3"/>
        <v>1500000</v>
      </c>
      <c r="E8" s="404">
        <f t="shared" si="3"/>
        <v>1781258</v>
      </c>
      <c r="F8" s="404">
        <f t="shared" si="3"/>
        <v>0</v>
      </c>
      <c r="G8" s="404">
        <f t="shared" si="3"/>
        <v>0</v>
      </c>
      <c r="H8" s="404">
        <f t="shared" si="3"/>
        <v>1781258</v>
      </c>
      <c r="I8" s="221">
        <f t="shared" si="1"/>
        <v>1781258</v>
      </c>
      <c r="J8" s="829">
        <f t="shared" si="2"/>
        <v>1</v>
      </c>
      <c r="K8" s="451">
        <f>SUM(K9:K12)</f>
        <v>1781258</v>
      </c>
    </row>
    <row r="9" spans="1:12" ht="12.75" customHeight="1" x14ac:dyDescent="0.25">
      <c r="A9" s="694" t="s">
        <v>172</v>
      </c>
      <c r="B9" s="142"/>
      <c r="C9" s="526">
        <v>0</v>
      </c>
      <c r="D9" s="328">
        <v>1500000</v>
      </c>
      <c r="E9" s="329">
        <v>1781258</v>
      </c>
      <c r="F9" s="329">
        <v>0</v>
      </c>
      <c r="G9" s="329">
        <v>0</v>
      </c>
      <c r="H9" s="329">
        <f>E9/12*$L$1</f>
        <v>1781258</v>
      </c>
      <c r="I9" s="221">
        <f t="shared" si="1"/>
        <v>1781258</v>
      </c>
      <c r="J9" s="829">
        <f t="shared" si="2"/>
        <v>1</v>
      </c>
      <c r="K9" s="517">
        <f>E9</f>
        <v>1781258</v>
      </c>
    </row>
    <row r="10" spans="1:12" ht="12.75" customHeight="1" x14ac:dyDescent="0.25">
      <c r="A10" s="694" t="s">
        <v>1251</v>
      </c>
      <c r="B10" s="142"/>
      <c r="C10" s="526">
        <v>0</v>
      </c>
      <c r="D10" s="328">
        <v>0</v>
      </c>
      <c r="E10" s="329">
        <v>0</v>
      </c>
      <c r="F10" s="329">
        <v>0</v>
      </c>
      <c r="G10" s="329">
        <v>0</v>
      </c>
      <c r="H10" s="329">
        <f t="shared" ref="H10:H12" si="4">E10/12*$L$1</f>
        <v>0</v>
      </c>
      <c r="I10" s="221">
        <f t="shared" si="1"/>
        <v>0</v>
      </c>
      <c r="J10" s="829" t="str">
        <f t="shared" si="2"/>
        <v/>
      </c>
      <c r="K10" s="517">
        <f>E10</f>
        <v>0</v>
      </c>
    </row>
    <row r="11" spans="1:12" ht="12.75" customHeight="1" x14ac:dyDescent="0.25">
      <c r="A11" s="694" t="s">
        <v>1252</v>
      </c>
      <c r="B11" s="142"/>
      <c r="C11" s="526">
        <v>0</v>
      </c>
      <c r="D11" s="328">
        <v>0</v>
      </c>
      <c r="E11" s="329">
        <v>0</v>
      </c>
      <c r="F11" s="329">
        <v>0</v>
      </c>
      <c r="G11" s="329">
        <v>0</v>
      </c>
      <c r="H11" s="329">
        <f t="shared" si="4"/>
        <v>0</v>
      </c>
      <c r="I11" s="221">
        <f t="shared" si="1"/>
        <v>0</v>
      </c>
      <c r="J11" s="829" t="str">
        <f t="shared" si="2"/>
        <v/>
      </c>
      <c r="K11" s="517">
        <f>E11</f>
        <v>0</v>
      </c>
    </row>
    <row r="12" spans="1:12" ht="12.75" customHeight="1" x14ac:dyDescent="0.25">
      <c r="A12" s="694" t="s">
        <v>1253</v>
      </c>
      <c r="B12" s="142"/>
      <c r="C12" s="526">
        <v>0</v>
      </c>
      <c r="D12" s="328">
        <v>0</v>
      </c>
      <c r="E12" s="329">
        <v>0</v>
      </c>
      <c r="F12" s="329">
        <v>0</v>
      </c>
      <c r="G12" s="329">
        <v>0</v>
      </c>
      <c r="H12" s="329">
        <f t="shared" si="4"/>
        <v>0</v>
      </c>
      <c r="I12" s="221">
        <f t="shared" si="1"/>
        <v>0</v>
      </c>
      <c r="J12" s="829" t="str">
        <f t="shared" si="2"/>
        <v/>
      </c>
      <c r="K12" s="517">
        <f>E12</f>
        <v>0</v>
      </c>
    </row>
    <row r="13" spans="1:12" ht="12.75" customHeight="1" x14ac:dyDescent="0.25">
      <c r="A13" s="828" t="s">
        <v>1254</v>
      </c>
      <c r="B13" s="142"/>
      <c r="C13" s="111">
        <f t="shared" ref="C13:H13" si="5">SUM(C14:C16)</f>
        <v>0</v>
      </c>
      <c r="D13" s="43">
        <f t="shared" si="5"/>
        <v>500000</v>
      </c>
      <c r="E13" s="41">
        <f t="shared" si="5"/>
        <v>500000</v>
      </c>
      <c r="F13" s="41">
        <f t="shared" si="5"/>
        <v>0</v>
      </c>
      <c r="G13" s="41">
        <f t="shared" si="5"/>
        <v>0</v>
      </c>
      <c r="H13" s="41">
        <f t="shared" si="5"/>
        <v>500000</v>
      </c>
      <c r="I13" s="221">
        <f t="shared" si="1"/>
        <v>500000</v>
      </c>
      <c r="J13" s="829">
        <f t="shared" si="2"/>
        <v>1</v>
      </c>
      <c r="K13" s="119">
        <f>SUM(K14:K16)</f>
        <v>500000</v>
      </c>
    </row>
    <row r="14" spans="1:12" ht="12.75" customHeight="1" x14ac:dyDescent="0.25">
      <c r="A14" s="694" t="s">
        <v>1255</v>
      </c>
      <c r="B14" s="142"/>
      <c r="C14" s="526">
        <v>0</v>
      </c>
      <c r="D14" s="328">
        <v>0</v>
      </c>
      <c r="E14" s="329">
        <v>0</v>
      </c>
      <c r="F14" s="329">
        <v>0</v>
      </c>
      <c r="G14" s="329">
        <v>0</v>
      </c>
      <c r="H14" s="329">
        <f t="shared" ref="H14:H16" si="6">E14/12*$L$1</f>
        <v>0</v>
      </c>
      <c r="I14" s="221">
        <f t="shared" si="1"/>
        <v>0</v>
      </c>
      <c r="J14" s="829" t="str">
        <f t="shared" si="2"/>
        <v/>
      </c>
      <c r="K14" s="517">
        <f>E14</f>
        <v>0</v>
      </c>
    </row>
    <row r="15" spans="1:12" ht="12.75" customHeight="1" x14ac:dyDescent="0.25">
      <c r="A15" s="694" t="s">
        <v>1256</v>
      </c>
      <c r="B15" s="142"/>
      <c r="C15" s="526">
        <v>0</v>
      </c>
      <c r="D15" s="328">
        <v>500000</v>
      </c>
      <c r="E15" s="329">
        <v>500000</v>
      </c>
      <c r="F15" s="329">
        <v>0</v>
      </c>
      <c r="G15" s="329">
        <v>0</v>
      </c>
      <c r="H15" s="329">
        <f t="shared" si="6"/>
        <v>500000</v>
      </c>
      <c r="I15" s="221">
        <f t="shared" si="1"/>
        <v>500000</v>
      </c>
      <c r="J15" s="829">
        <f t="shared" si="2"/>
        <v>1</v>
      </c>
      <c r="K15" s="517">
        <f>E15</f>
        <v>500000</v>
      </c>
    </row>
    <row r="16" spans="1:12" ht="12.75" customHeight="1" x14ac:dyDescent="0.25">
      <c r="A16" s="694" t="s">
        <v>1257</v>
      </c>
      <c r="B16" s="142"/>
      <c r="C16" s="526">
        <v>0</v>
      </c>
      <c r="D16" s="328">
        <v>0</v>
      </c>
      <c r="E16" s="329">
        <v>0</v>
      </c>
      <c r="F16" s="329">
        <v>0</v>
      </c>
      <c r="G16" s="329">
        <v>0</v>
      </c>
      <c r="H16" s="329">
        <f t="shared" si="6"/>
        <v>0</v>
      </c>
      <c r="I16" s="221">
        <f t="shared" si="1"/>
        <v>0</v>
      </c>
      <c r="J16" s="829" t="str">
        <f t="shared" si="2"/>
        <v/>
      </c>
      <c r="K16" s="517">
        <f>E16</f>
        <v>0</v>
      </c>
    </row>
    <row r="17" spans="1:11" ht="12.75" customHeight="1" x14ac:dyDescent="0.25">
      <c r="A17" s="828" t="s">
        <v>1258</v>
      </c>
      <c r="B17" s="142"/>
      <c r="C17" s="111">
        <f t="shared" ref="C17:H17" si="7">SUM(C18:C26)</f>
        <v>0</v>
      </c>
      <c r="D17" s="43">
        <f t="shared" si="7"/>
        <v>1880000</v>
      </c>
      <c r="E17" s="41">
        <f t="shared" si="7"/>
        <v>483162</v>
      </c>
      <c r="F17" s="41">
        <f t="shared" si="7"/>
        <v>0</v>
      </c>
      <c r="G17" s="41">
        <f t="shared" si="7"/>
        <v>0</v>
      </c>
      <c r="H17" s="41">
        <f t="shared" si="7"/>
        <v>483162</v>
      </c>
      <c r="I17" s="221">
        <f t="shared" si="1"/>
        <v>483162</v>
      </c>
      <c r="J17" s="829">
        <f t="shared" si="2"/>
        <v>1</v>
      </c>
      <c r="K17" s="119">
        <f>SUM(K18:K26)</f>
        <v>483162</v>
      </c>
    </row>
    <row r="18" spans="1:11" ht="12.75" customHeight="1" x14ac:dyDescent="0.25">
      <c r="A18" s="694" t="s">
        <v>1259</v>
      </c>
      <c r="B18" s="142"/>
      <c r="C18" s="526">
        <v>0</v>
      </c>
      <c r="D18" s="328">
        <v>0</v>
      </c>
      <c r="E18" s="329">
        <v>0</v>
      </c>
      <c r="F18" s="329">
        <v>0</v>
      </c>
      <c r="G18" s="329">
        <v>0</v>
      </c>
      <c r="H18" s="329">
        <f t="shared" ref="H18:H26" si="8">E18/12*$L$1</f>
        <v>0</v>
      </c>
      <c r="I18" s="221">
        <f t="shared" si="1"/>
        <v>0</v>
      </c>
      <c r="J18" s="829" t="str">
        <f t="shared" si="2"/>
        <v/>
      </c>
      <c r="K18" s="517">
        <f t="shared" ref="K18:K26" si="9">E18</f>
        <v>0</v>
      </c>
    </row>
    <row r="19" spans="1:11" ht="12.75" customHeight="1" x14ac:dyDescent="0.25">
      <c r="A19" s="694" t="s">
        <v>1260</v>
      </c>
      <c r="B19" s="142"/>
      <c r="C19" s="526">
        <v>0</v>
      </c>
      <c r="D19" s="328">
        <v>0</v>
      </c>
      <c r="E19" s="329">
        <v>0</v>
      </c>
      <c r="F19" s="329">
        <v>0</v>
      </c>
      <c r="G19" s="329">
        <v>0</v>
      </c>
      <c r="H19" s="329">
        <f t="shared" si="8"/>
        <v>0</v>
      </c>
      <c r="I19" s="221">
        <f t="shared" si="1"/>
        <v>0</v>
      </c>
      <c r="J19" s="829" t="str">
        <f t="shared" si="2"/>
        <v/>
      </c>
      <c r="K19" s="517">
        <f t="shared" si="9"/>
        <v>0</v>
      </c>
    </row>
    <row r="20" spans="1:11" ht="12.75" customHeight="1" x14ac:dyDescent="0.25">
      <c r="A20" s="694" t="s">
        <v>1261</v>
      </c>
      <c r="B20" s="142"/>
      <c r="C20" s="526">
        <v>0</v>
      </c>
      <c r="D20" s="328">
        <v>0</v>
      </c>
      <c r="E20" s="329">
        <v>0</v>
      </c>
      <c r="F20" s="329">
        <v>0</v>
      </c>
      <c r="G20" s="329">
        <v>0</v>
      </c>
      <c r="H20" s="329">
        <f t="shared" si="8"/>
        <v>0</v>
      </c>
      <c r="I20" s="221">
        <f t="shared" si="1"/>
        <v>0</v>
      </c>
      <c r="J20" s="829" t="str">
        <f t="shared" si="2"/>
        <v/>
      </c>
      <c r="K20" s="517">
        <f t="shared" si="9"/>
        <v>0</v>
      </c>
    </row>
    <row r="21" spans="1:11" ht="12.75" customHeight="1" x14ac:dyDescent="0.25">
      <c r="A21" s="694" t="s">
        <v>1262</v>
      </c>
      <c r="B21" s="142"/>
      <c r="C21" s="526">
        <v>0</v>
      </c>
      <c r="D21" s="328">
        <v>0</v>
      </c>
      <c r="E21" s="329">
        <v>0</v>
      </c>
      <c r="F21" s="329">
        <v>0</v>
      </c>
      <c r="G21" s="329">
        <v>0</v>
      </c>
      <c r="H21" s="329">
        <f t="shared" si="8"/>
        <v>0</v>
      </c>
      <c r="I21" s="221">
        <f t="shared" si="1"/>
        <v>0</v>
      </c>
      <c r="J21" s="829" t="str">
        <f t="shared" si="2"/>
        <v/>
      </c>
      <c r="K21" s="517">
        <f t="shared" si="9"/>
        <v>0</v>
      </c>
    </row>
    <row r="22" spans="1:11" ht="12.75" customHeight="1" x14ac:dyDescent="0.25">
      <c r="A22" s="694" t="s">
        <v>1263</v>
      </c>
      <c r="B22" s="142"/>
      <c r="C22" s="526">
        <v>0</v>
      </c>
      <c r="D22" s="328">
        <v>1300000</v>
      </c>
      <c r="E22" s="329">
        <v>0</v>
      </c>
      <c r="F22" s="329">
        <v>0</v>
      </c>
      <c r="G22" s="329">
        <v>0</v>
      </c>
      <c r="H22" s="329">
        <f t="shared" si="8"/>
        <v>0</v>
      </c>
      <c r="I22" s="221">
        <f t="shared" si="1"/>
        <v>0</v>
      </c>
      <c r="J22" s="829" t="str">
        <f t="shared" si="2"/>
        <v/>
      </c>
      <c r="K22" s="517">
        <f t="shared" si="9"/>
        <v>0</v>
      </c>
    </row>
    <row r="23" spans="1:11" ht="12.75" customHeight="1" x14ac:dyDescent="0.25">
      <c r="A23" s="694" t="s">
        <v>1264</v>
      </c>
      <c r="B23" s="142"/>
      <c r="C23" s="526">
        <v>0</v>
      </c>
      <c r="D23" s="328">
        <v>0</v>
      </c>
      <c r="E23" s="329">
        <v>0</v>
      </c>
      <c r="F23" s="329">
        <v>0</v>
      </c>
      <c r="G23" s="329">
        <v>0</v>
      </c>
      <c r="H23" s="329">
        <f t="shared" si="8"/>
        <v>0</v>
      </c>
      <c r="I23" s="221">
        <f t="shared" si="1"/>
        <v>0</v>
      </c>
      <c r="J23" s="829" t="str">
        <f t="shared" si="2"/>
        <v/>
      </c>
      <c r="K23" s="517">
        <f t="shared" si="9"/>
        <v>0</v>
      </c>
    </row>
    <row r="24" spans="1:11" ht="12.75" customHeight="1" x14ac:dyDescent="0.25">
      <c r="A24" s="694" t="s">
        <v>1265</v>
      </c>
      <c r="B24" s="142"/>
      <c r="C24" s="526">
        <v>0</v>
      </c>
      <c r="D24" s="328">
        <v>0</v>
      </c>
      <c r="E24" s="329">
        <v>0</v>
      </c>
      <c r="F24" s="329">
        <v>0</v>
      </c>
      <c r="G24" s="329">
        <v>0</v>
      </c>
      <c r="H24" s="329">
        <f t="shared" si="8"/>
        <v>0</v>
      </c>
      <c r="I24" s="221">
        <f t="shared" si="1"/>
        <v>0</v>
      </c>
      <c r="J24" s="829" t="str">
        <f t="shared" si="2"/>
        <v/>
      </c>
      <c r="K24" s="517">
        <f t="shared" si="9"/>
        <v>0</v>
      </c>
    </row>
    <row r="25" spans="1:11" ht="12.75" customHeight="1" x14ac:dyDescent="0.25">
      <c r="A25" s="694" t="s">
        <v>1266</v>
      </c>
      <c r="B25" s="142"/>
      <c r="C25" s="526">
        <v>0</v>
      </c>
      <c r="D25" s="328">
        <v>580000</v>
      </c>
      <c r="E25" s="329">
        <v>483162</v>
      </c>
      <c r="F25" s="329">
        <v>0</v>
      </c>
      <c r="G25" s="329">
        <v>0</v>
      </c>
      <c r="H25" s="329">
        <f t="shared" si="8"/>
        <v>483162</v>
      </c>
      <c r="I25" s="221">
        <f t="shared" si="1"/>
        <v>483162</v>
      </c>
      <c r="J25" s="829">
        <f t="shared" si="2"/>
        <v>1</v>
      </c>
      <c r="K25" s="517">
        <f t="shared" si="9"/>
        <v>483162</v>
      </c>
    </row>
    <row r="26" spans="1:11" ht="12.75" customHeight="1" x14ac:dyDescent="0.25">
      <c r="A26" s="694" t="s">
        <v>1253</v>
      </c>
      <c r="B26" s="142"/>
      <c r="C26" s="526">
        <v>0</v>
      </c>
      <c r="D26" s="328">
        <v>0</v>
      </c>
      <c r="E26" s="329">
        <v>0</v>
      </c>
      <c r="F26" s="329">
        <v>0</v>
      </c>
      <c r="G26" s="329">
        <v>0</v>
      </c>
      <c r="H26" s="329">
        <f t="shared" si="8"/>
        <v>0</v>
      </c>
      <c r="I26" s="221">
        <f t="shared" si="1"/>
        <v>0</v>
      </c>
      <c r="J26" s="829" t="str">
        <f t="shared" si="2"/>
        <v/>
      </c>
      <c r="K26" s="517">
        <f t="shared" si="9"/>
        <v>0</v>
      </c>
    </row>
    <row r="27" spans="1:11" ht="12.75" customHeight="1" x14ac:dyDescent="0.25">
      <c r="A27" s="828" t="s">
        <v>1267</v>
      </c>
      <c r="B27" s="142"/>
      <c r="C27" s="111">
        <f t="shared" ref="C27:H27" si="10">SUM(C28:C37)</f>
        <v>0</v>
      </c>
      <c r="D27" s="43">
        <f t="shared" si="10"/>
        <v>200000</v>
      </c>
      <c r="E27" s="41">
        <f t="shared" si="10"/>
        <v>200000</v>
      </c>
      <c r="F27" s="41">
        <f t="shared" si="10"/>
        <v>0</v>
      </c>
      <c r="G27" s="41">
        <f t="shared" si="10"/>
        <v>0</v>
      </c>
      <c r="H27" s="41">
        <f t="shared" si="10"/>
        <v>200000</v>
      </c>
      <c r="I27" s="221">
        <f t="shared" si="1"/>
        <v>200000</v>
      </c>
      <c r="J27" s="829">
        <f t="shared" si="2"/>
        <v>1</v>
      </c>
      <c r="K27" s="119">
        <f>SUM(K28:K37)</f>
        <v>200000</v>
      </c>
    </row>
    <row r="28" spans="1:11" ht="12.75" customHeight="1" x14ac:dyDescent="0.25">
      <c r="A28" s="694" t="s">
        <v>1268</v>
      </c>
      <c r="B28" s="142"/>
      <c r="C28" s="526">
        <v>0</v>
      </c>
      <c r="D28" s="328">
        <v>0</v>
      </c>
      <c r="E28" s="329">
        <v>0</v>
      </c>
      <c r="F28" s="329">
        <v>0</v>
      </c>
      <c r="G28" s="329">
        <v>0</v>
      </c>
      <c r="H28" s="329">
        <f t="shared" ref="H28:H37" si="11">E28/12*$L$1</f>
        <v>0</v>
      </c>
      <c r="I28" s="221">
        <f t="shared" si="1"/>
        <v>0</v>
      </c>
      <c r="J28" s="829" t="str">
        <f t="shared" si="2"/>
        <v/>
      </c>
      <c r="K28" s="517">
        <f t="shared" ref="K28:K37" si="12">E28</f>
        <v>0</v>
      </c>
    </row>
    <row r="29" spans="1:11" ht="12.75" customHeight="1" x14ac:dyDescent="0.25">
      <c r="A29" s="694" t="s">
        <v>1269</v>
      </c>
      <c r="B29" s="142"/>
      <c r="C29" s="526">
        <v>0</v>
      </c>
      <c r="D29" s="328">
        <v>0</v>
      </c>
      <c r="E29" s="329">
        <v>0</v>
      </c>
      <c r="F29" s="329">
        <v>0</v>
      </c>
      <c r="G29" s="329">
        <v>0</v>
      </c>
      <c r="H29" s="329">
        <f t="shared" si="11"/>
        <v>0</v>
      </c>
      <c r="I29" s="221">
        <f t="shared" si="1"/>
        <v>0</v>
      </c>
      <c r="J29" s="829" t="str">
        <f t="shared" si="2"/>
        <v/>
      </c>
      <c r="K29" s="517">
        <f t="shared" si="12"/>
        <v>0</v>
      </c>
    </row>
    <row r="30" spans="1:11" ht="12.75" customHeight="1" x14ac:dyDescent="0.25">
      <c r="A30" s="694" t="s">
        <v>1270</v>
      </c>
      <c r="B30" s="142"/>
      <c r="C30" s="526">
        <v>0</v>
      </c>
      <c r="D30" s="328">
        <v>0</v>
      </c>
      <c r="E30" s="329">
        <v>0</v>
      </c>
      <c r="F30" s="329">
        <v>0</v>
      </c>
      <c r="G30" s="329">
        <v>0</v>
      </c>
      <c r="H30" s="329">
        <f t="shared" si="11"/>
        <v>0</v>
      </c>
      <c r="I30" s="221">
        <f t="shared" si="1"/>
        <v>0</v>
      </c>
      <c r="J30" s="829" t="str">
        <f t="shared" si="2"/>
        <v/>
      </c>
      <c r="K30" s="517">
        <f t="shared" si="12"/>
        <v>0</v>
      </c>
    </row>
    <row r="31" spans="1:11" ht="12.75" customHeight="1" x14ac:dyDescent="0.25">
      <c r="A31" s="694" t="s">
        <v>1271</v>
      </c>
      <c r="B31" s="142"/>
      <c r="C31" s="526">
        <v>0</v>
      </c>
      <c r="D31" s="328">
        <v>0</v>
      </c>
      <c r="E31" s="329">
        <v>0</v>
      </c>
      <c r="F31" s="329">
        <v>0</v>
      </c>
      <c r="G31" s="329">
        <v>0</v>
      </c>
      <c r="H31" s="329">
        <f t="shared" si="11"/>
        <v>0</v>
      </c>
      <c r="I31" s="221">
        <f t="shared" si="1"/>
        <v>0</v>
      </c>
      <c r="J31" s="829" t="str">
        <f t="shared" si="2"/>
        <v/>
      </c>
      <c r="K31" s="517">
        <f t="shared" si="12"/>
        <v>0</v>
      </c>
    </row>
    <row r="32" spans="1:11" ht="12.75" customHeight="1" x14ac:dyDescent="0.25">
      <c r="A32" s="694" t="s">
        <v>1272</v>
      </c>
      <c r="B32" s="142"/>
      <c r="C32" s="526">
        <v>0</v>
      </c>
      <c r="D32" s="328">
        <v>0</v>
      </c>
      <c r="E32" s="329">
        <v>0</v>
      </c>
      <c r="F32" s="329">
        <v>0</v>
      </c>
      <c r="G32" s="329">
        <v>0</v>
      </c>
      <c r="H32" s="329">
        <f t="shared" si="11"/>
        <v>0</v>
      </c>
      <c r="I32" s="221">
        <f t="shared" si="1"/>
        <v>0</v>
      </c>
      <c r="J32" s="829" t="str">
        <f t="shared" si="2"/>
        <v/>
      </c>
      <c r="K32" s="517">
        <f t="shared" si="12"/>
        <v>0</v>
      </c>
    </row>
    <row r="33" spans="1:11" ht="12.75" customHeight="1" x14ac:dyDescent="0.25">
      <c r="A33" s="694" t="s">
        <v>1273</v>
      </c>
      <c r="B33" s="142"/>
      <c r="C33" s="526">
        <v>0</v>
      </c>
      <c r="D33" s="328">
        <v>0</v>
      </c>
      <c r="E33" s="329">
        <v>0</v>
      </c>
      <c r="F33" s="329">
        <v>0</v>
      </c>
      <c r="G33" s="329">
        <v>0</v>
      </c>
      <c r="H33" s="329">
        <f t="shared" si="11"/>
        <v>0</v>
      </c>
      <c r="I33" s="221">
        <f t="shared" si="1"/>
        <v>0</v>
      </c>
      <c r="J33" s="829" t="str">
        <f t="shared" si="2"/>
        <v/>
      </c>
      <c r="K33" s="517">
        <f t="shared" si="12"/>
        <v>0</v>
      </c>
    </row>
    <row r="34" spans="1:11" ht="12.75" customHeight="1" x14ac:dyDescent="0.25">
      <c r="A34" s="694" t="s">
        <v>1274</v>
      </c>
      <c r="B34" s="142"/>
      <c r="C34" s="526">
        <v>0</v>
      </c>
      <c r="D34" s="328">
        <v>200000</v>
      </c>
      <c r="E34" s="329">
        <v>200000</v>
      </c>
      <c r="F34" s="329">
        <v>0</v>
      </c>
      <c r="G34" s="329">
        <v>0</v>
      </c>
      <c r="H34" s="329">
        <f t="shared" si="11"/>
        <v>200000</v>
      </c>
      <c r="I34" s="221">
        <f t="shared" si="1"/>
        <v>200000</v>
      </c>
      <c r="J34" s="829">
        <f t="shared" si="2"/>
        <v>1</v>
      </c>
      <c r="K34" s="517">
        <f t="shared" si="12"/>
        <v>200000</v>
      </c>
    </row>
    <row r="35" spans="1:11" ht="12.75" customHeight="1" x14ac:dyDescent="0.25">
      <c r="A35" s="694" t="s">
        <v>1275</v>
      </c>
      <c r="B35" s="142"/>
      <c r="C35" s="526">
        <v>0</v>
      </c>
      <c r="D35" s="328">
        <v>0</v>
      </c>
      <c r="E35" s="329">
        <v>0</v>
      </c>
      <c r="F35" s="329">
        <v>0</v>
      </c>
      <c r="G35" s="329">
        <v>0</v>
      </c>
      <c r="H35" s="329">
        <f t="shared" si="11"/>
        <v>0</v>
      </c>
      <c r="I35" s="221">
        <f t="shared" si="1"/>
        <v>0</v>
      </c>
      <c r="J35" s="829" t="str">
        <f t="shared" si="2"/>
        <v/>
      </c>
      <c r="K35" s="517">
        <f t="shared" si="12"/>
        <v>0</v>
      </c>
    </row>
    <row r="36" spans="1:11" ht="12.75" customHeight="1" x14ac:dyDescent="0.25">
      <c r="A36" s="694" t="s">
        <v>1276</v>
      </c>
      <c r="B36" s="142"/>
      <c r="C36" s="526">
        <v>0</v>
      </c>
      <c r="D36" s="328">
        <v>0</v>
      </c>
      <c r="E36" s="329">
        <v>0</v>
      </c>
      <c r="F36" s="329">
        <v>0</v>
      </c>
      <c r="G36" s="329">
        <v>0</v>
      </c>
      <c r="H36" s="329">
        <f t="shared" si="11"/>
        <v>0</v>
      </c>
      <c r="I36" s="221">
        <f t="shared" si="1"/>
        <v>0</v>
      </c>
      <c r="J36" s="829" t="str">
        <f t="shared" si="2"/>
        <v/>
      </c>
      <c r="K36" s="517">
        <f t="shared" si="12"/>
        <v>0</v>
      </c>
    </row>
    <row r="37" spans="1:11" ht="12.75" customHeight="1" x14ac:dyDescent="0.25">
      <c r="A37" s="694" t="s">
        <v>1253</v>
      </c>
      <c r="B37" s="142"/>
      <c r="C37" s="526">
        <v>0</v>
      </c>
      <c r="D37" s="328">
        <v>0</v>
      </c>
      <c r="E37" s="329">
        <v>0</v>
      </c>
      <c r="F37" s="329">
        <v>0</v>
      </c>
      <c r="G37" s="329">
        <v>0</v>
      </c>
      <c r="H37" s="329">
        <f t="shared" si="11"/>
        <v>0</v>
      </c>
      <c r="I37" s="221">
        <f t="shared" si="1"/>
        <v>0</v>
      </c>
      <c r="J37" s="829" t="str">
        <f t="shared" si="2"/>
        <v/>
      </c>
      <c r="K37" s="517">
        <f t="shared" si="12"/>
        <v>0</v>
      </c>
    </row>
    <row r="38" spans="1:11" ht="12.75" customHeight="1" x14ac:dyDescent="0.25">
      <c r="A38" s="828" t="s">
        <v>1277</v>
      </c>
      <c r="B38" s="142"/>
      <c r="C38" s="111">
        <f t="shared" ref="C38:H38" si="13">SUM(C39:C44)</f>
        <v>0</v>
      </c>
      <c r="D38" s="43">
        <f t="shared" si="13"/>
        <v>0</v>
      </c>
      <c r="E38" s="41">
        <f t="shared" si="13"/>
        <v>0</v>
      </c>
      <c r="F38" s="41">
        <f t="shared" si="13"/>
        <v>0</v>
      </c>
      <c r="G38" s="41">
        <f t="shared" si="13"/>
        <v>0</v>
      </c>
      <c r="H38" s="41">
        <f t="shared" si="13"/>
        <v>0</v>
      </c>
      <c r="I38" s="221">
        <f t="shared" si="1"/>
        <v>0</v>
      </c>
      <c r="J38" s="829" t="str">
        <f t="shared" si="2"/>
        <v/>
      </c>
      <c r="K38" s="119">
        <f>SUM(K39:K44)</f>
        <v>0</v>
      </c>
    </row>
    <row r="39" spans="1:11" ht="12.75" customHeight="1" x14ac:dyDescent="0.25">
      <c r="A39" s="694" t="s">
        <v>1278</v>
      </c>
      <c r="B39" s="142"/>
      <c r="C39" s="526">
        <v>0</v>
      </c>
      <c r="D39" s="328">
        <v>0</v>
      </c>
      <c r="E39" s="329">
        <v>0</v>
      </c>
      <c r="F39" s="329">
        <v>0</v>
      </c>
      <c r="G39" s="329">
        <v>0</v>
      </c>
      <c r="H39" s="329">
        <f t="shared" ref="H39:H44" si="14">E39/12*$L$1</f>
        <v>0</v>
      </c>
      <c r="I39" s="221">
        <f t="shared" si="1"/>
        <v>0</v>
      </c>
      <c r="J39" s="829" t="str">
        <f t="shared" si="2"/>
        <v/>
      </c>
      <c r="K39" s="517">
        <f t="shared" ref="K39:K44" si="15">E39</f>
        <v>0</v>
      </c>
    </row>
    <row r="40" spans="1:11" ht="12.75" customHeight="1" x14ac:dyDescent="0.25">
      <c r="A40" s="694" t="s">
        <v>138</v>
      </c>
      <c r="B40" s="142"/>
      <c r="C40" s="526">
        <v>0</v>
      </c>
      <c r="D40" s="328">
        <v>0</v>
      </c>
      <c r="E40" s="329">
        <v>0</v>
      </c>
      <c r="F40" s="329">
        <v>0</v>
      </c>
      <c r="G40" s="329">
        <v>0</v>
      </c>
      <c r="H40" s="329">
        <f t="shared" si="14"/>
        <v>0</v>
      </c>
      <c r="I40" s="221">
        <f t="shared" si="1"/>
        <v>0</v>
      </c>
      <c r="J40" s="829" t="str">
        <f t="shared" si="2"/>
        <v/>
      </c>
      <c r="K40" s="517">
        <f t="shared" si="15"/>
        <v>0</v>
      </c>
    </row>
    <row r="41" spans="1:11" ht="12.75" customHeight="1" x14ac:dyDescent="0.25">
      <c r="A41" s="694" t="s">
        <v>1279</v>
      </c>
      <c r="B41" s="142"/>
      <c r="C41" s="526">
        <v>0</v>
      </c>
      <c r="D41" s="328">
        <v>0</v>
      </c>
      <c r="E41" s="329">
        <v>0</v>
      </c>
      <c r="F41" s="329">
        <v>0</v>
      </c>
      <c r="G41" s="329">
        <v>0</v>
      </c>
      <c r="H41" s="329">
        <f t="shared" si="14"/>
        <v>0</v>
      </c>
      <c r="I41" s="221">
        <f t="shared" si="1"/>
        <v>0</v>
      </c>
      <c r="J41" s="829" t="str">
        <f t="shared" si="2"/>
        <v/>
      </c>
      <c r="K41" s="517">
        <f t="shared" si="15"/>
        <v>0</v>
      </c>
    </row>
    <row r="42" spans="1:11" ht="12.75" customHeight="1" x14ac:dyDescent="0.25">
      <c r="A42" s="694" t="s">
        <v>1280</v>
      </c>
      <c r="B42" s="142"/>
      <c r="C42" s="526">
        <v>0</v>
      </c>
      <c r="D42" s="328">
        <v>0</v>
      </c>
      <c r="E42" s="329">
        <v>0</v>
      </c>
      <c r="F42" s="329">
        <v>0</v>
      </c>
      <c r="G42" s="329">
        <v>0</v>
      </c>
      <c r="H42" s="329">
        <f t="shared" si="14"/>
        <v>0</v>
      </c>
      <c r="I42" s="221">
        <f t="shared" si="1"/>
        <v>0</v>
      </c>
      <c r="J42" s="829" t="str">
        <f t="shared" si="2"/>
        <v/>
      </c>
      <c r="K42" s="517">
        <f t="shared" si="15"/>
        <v>0</v>
      </c>
    </row>
    <row r="43" spans="1:11" ht="12.75" customHeight="1" x14ac:dyDescent="0.25">
      <c r="A43" s="694" t="s">
        <v>1281</v>
      </c>
      <c r="B43" s="142"/>
      <c r="C43" s="526">
        <v>0</v>
      </c>
      <c r="D43" s="328">
        <v>0</v>
      </c>
      <c r="E43" s="329">
        <v>0</v>
      </c>
      <c r="F43" s="329">
        <v>0</v>
      </c>
      <c r="G43" s="329">
        <v>0</v>
      </c>
      <c r="H43" s="329">
        <f t="shared" si="14"/>
        <v>0</v>
      </c>
      <c r="I43" s="221">
        <f t="shared" si="1"/>
        <v>0</v>
      </c>
      <c r="J43" s="829" t="str">
        <f t="shared" si="2"/>
        <v/>
      </c>
      <c r="K43" s="517">
        <f t="shared" si="15"/>
        <v>0</v>
      </c>
    </row>
    <row r="44" spans="1:11" ht="12.75" customHeight="1" x14ac:dyDescent="0.25">
      <c r="A44" s="694" t="s">
        <v>1253</v>
      </c>
      <c r="B44" s="142"/>
      <c r="C44" s="526">
        <v>0</v>
      </c>
      <c r="D44" s="328">
        <v>0</v>
      </c>
      <c r="E44" s="329">
        <v>0</v>
      </c>
      <c r="F44" s="329">
        <v>0</v>
      </c>
      <c r="G44" s="329">
        <v>0</v>
      </c>
      <c r="H44" s="329">
        <f t="shared" si="14"/>
        <v>0</v>
      </c>
      <c r="I44" s="221">
        <f t="shared" si="1"/>
        <v>0</v>
      </c>
      <c r="J44" s="829" t="str">
        <f t="shared" si="2"/>
        <v/>
      </c>
      <c r="K44" s="517">
        <f t="shared" si="15"/>
        <v>0</v>
      </c>
    </row>
    <row r="45" spans="1:11" ht="12.75" customHeight="1" x14ac:dyDescent="0.25">
      <c r="A45" s="828" t="s">
        <v>1282</v>
      </c>
      <c r="B45" s="142"/>
      <c r="C45" s="111">
        <f t="shared" ref="C45:H45" si="16">SUM(C46:C52)</f>
        <v>0</v>
      </c>
      <c r="D45" s="43">
        <f t="shared" si="16"/>
        <v>0</v>
      </c>
      <c r="E45" s="41">
        <f t="shared" si="16"/>
        <v>0</v>
      </c>
      <c r="F45" s="41">
        <f t="shared" si="16"/>
        <v>0</v>
      </c>
      <c r="G45" s="41">
        <f t="shared" si="16"/>
        <v>0</v>
      </c>
      <c r="H45" s="41">
        <f t="shared" si="16"/>
        <v>0</v>
      </c>
      <c r="I45" s="221">
        <f t="shared" si="1"/>
        <v>0</v>
      </c>
      <c r="J45" s="829" t="str">
        <f t="shared" si="2"/>
        <v/>
      </c>
      <c r="K45" s="119">
        <f>SUM(K46:K52)</f>
        <v>0</v>
      </c>
    </row>
    <row r="46" spans="1:11" ht="12.75" customHeight="1" x14ac:dyDescent="0.25">
      <c r="A46" s="694" t="s">
        <v>1283</v>
      </c>
      <c r="B46" s="142"/>
      <c r="C46" s="526">
        <v>0</v>
      </c>
      <c r="D46" s="328">
        <v>0</v>
      </c>
      <c r="E46" s="329">
        <v>0</v>
      </c>
      <c r="F46" s="329">
        <v>0</v>
      </c>
      <c r="G46" s="329">
        <v>0</v>
      </c>
      <c r="H46" s="329">
        <f t="shared" ref="H46:H52" si="17">E46/12*$L$1</f>
        <v>0</v>
      </c>
      <c r="I46" s="221">
        <f t="shared" si="1"/>
        <v>0</v>
      </c>
      <c r="J46" s="829" t="str">
        <f t="shared" si="2"/>
        <v/>
      </c>
      <c r="K46" s="517">
        <f t="shared" ref="K46:K52" si="18">E46</f>
        <v>0</v>
      </c>
    </row>
    <row r="47" spans="1:11" ht="12.75" customHeight="1" x14ac:dyDescent="0.25">
      <c r="A47" s="694" t="s">
        <v>1284</v>
      </c>
      <c r="B47" s="142"/>
      <c r="C47" s="526">
        <v>0</v>
      </c>
      <c r="D47" s="328">
        <v>0</v>
      </c>
      <c r="E47" s="329">
        <v>0</v>
      </c>
      <c r="F47" s="329">
        <v>0</v>
      </c>
      <c r="G47" s="329">
        <v>0</v>
      </c>
      <c r="H47" s="329">
        <f t="shared" si="17"/>
        <v>0</v>
      </c>
      <c r="I47" s="221">
        <f t="shared" si="1"/>
        <v>0</v>
      </c>
      <c r="J47" s="829" t="str">
        <f t="shared" si="2"/>
        <v/>
      </c>
      <c r="K47" s="517">
        <f t="shared" si="18"/>
        <v>0</v>
      </c>
    </row>
    <row r="48" spans="1:11" ht="12.75" customHeight="1" x14ac:dyDescent="0.25">
      <c r="A48" s="694" t="s">
        <v>1285</v>
      </c>
      <c r="B48" s="142"/>
      <c r="C48" s="526">
        <v>0</v>
      </c>
      <c r="D48" s="328">
        <v>0</v>
      </c>
      <c r="E48" s="329">
        <v>0</v>
      </c>
      <c r="F48" s="329">
        <v>0</v>
      </c>
      <c r="G48" s="329">
        <v>0</v>
      </c>
      <c r="H48" s="329">
        <f t="shared" si="17"/>
        <v>0</v>
      </c>
      <c r="I48" s="221">
        <f t="shared" si="1"/>
        <v>0</v>
      </c>
      <c r="J48" s="829" t="str">
        <f t="shared" si="2"/>
        <v/>
      </c>
      <c r="K48" s="517">
        <f t="shared" si="18"/>
        <v>0</v>
      </c>
    </row>
    <row r="49" spans="1:11" ht="12.75" customHeight="1" x14ac:dyDescent="0.25">
      <c r="A49" s="694" t="s">
        <v>1286</v>
      </c>
      <c r="B49" s="142"/>
      <c r="C49" s="526">
        <v>0</v>
      </c>
      <c r="D49" s="328">
        <v>0</v>
      </c>
      <c r="E49" s="329">
        <v>0</v>
      </c>
      <c r="F49" s="329">
        <v>0</v>
      </c>
      <c r="G49" s="329">
        <v>0</v>
      </c>
      <c r="H49" s="329">
        <f t="shared" si="17"/>
        <v>0</v>
      </c>
      <c r="I49" s="221">
        <f t="shared" si="1"/>
        <v>0</v>
      </c>
      <c r="J49" s="829" t="str">
        <f t="shared" si="2"/>
        <v/>
      </c>
      <c r="K49" s="517">
        <f t="shared" si="18"/>
        <v>0</v>
      </c>
    </row>
    <row r="50" spans="1:11" ht="12.75" customHeight="1" x14ac:dyDescent="0.25">
      <c r="A50" s="694" t="s">
        <v>1287</v>
      </c>
      <c r="B50" s="142"/>
      <c r="C50" s="526">
        <v>0</v>
      </c>
      <c r="D50" s="328">
        <v>0</v>
      </c>
      <c r="E50" s="329">
        <v>0</v>
      </c>
      <c r="F50" s="329">
        <v>0</v>
      </c>
      <c r="G50" s="329">
        <v>0</v>
      </c>
      <c r="H50" s="329">
        <f t="shared" si="17"/>
        <v>0</v>
      </c>
      <c r="I50" s="221">
        <f t="shared" si="1"/>
        <v>0</v>
      </c>
      <c r="J50" s="829" t="str">
        <f t="shared" si="2"/>
        <v/>
      </c>
      <c r="K50" s="517">
        <f t="shared" si="18"/>
        <v>0</v>
      </c>
    </row>
    <row r="51" spans="1:11" ht="12.75" customHeight="1" x14ac:dyDescent="0.25">
      <c r="A51" s="694" t="s">
        <v>1288</v>
      </c>
      <c r="B51" s="142"/>
      <c r="C51" s="526">
        <v>0</v>
      </c>
      <c r="D51" s="328">
        <v>0</v>
      </c>
      <c r="E51" s="329">
        <v>0</v>
      </c>
      <c r="F51" s="329">
        <v>0</v>
      </c>
      <c r="G51" s="329">
        <v>0</v>
      </c>
      <c r="H51" s="329">
        <f t="shared" si="17"/>
        <v>0</v>
      </c>
      <c r="I51" s="221">
        <f t="shared" si="1"/>
        <v>0</v>
      </c>
      <c r="J51" s="829" t="str">
        <f t="shared" si="2"/>
        <v/>
      </c>
      <c r="K51" s="517">
        <f t="shared" si="18"/>
        <v>0</v>
      </c>
    </row>
    <row r="52" spans="1:11" ht="12.75" customHeight="1" x14ac:dyDescent="0.25">
      <c r="A52" s="694" t="s">
        <v>1253</v>
      </c>
      <c r="B52" s="142"/>
      <c r="C52" s="526">
        <v>0</v>
      </c>
      <c r="D52" s="328">
        <v>0</v>
      </c>
      <c r="E52" s="329">
        <v>0</v>
      </c>
      <c r="F52" s="329">
        <v>0</v>
      </c>
      <c r="G52" s="329">
        <v>0</v>
      </c>
      <c r="H52" s="329">
        <f t="shared" si="17"/>
        <v>0</v>
      </c>
      <c r="I52" s="221">
        <f t="shared" si="1"/>
        <v>0</v>
      </c>
      <c r="J52" s="829" t="str">
        <f t="shared" si="2"/>
        <v/>
      </c>
      <c r="K52" s="517">
        <f t="shared" si="18"/>
        <v>0</v>
      </c>
    </row>
    <row r="53" spans="1:11" ht="12.75" customHeight="1" x14ac:dyDescent="0.25">
      <c r="A53" s="828" t="s">
        <v>1289</v>
      </c>
      <c r="B53" s="142"/>
      <c r="C53" s="111">
        <f t="shared" ref="C53:H53" si="19">SUM(C54:C62)</f>
        <v>0</v>
      </c>
      <c r="D53" s="43">
        <f t="shared" si="19"/>
        <v>0</v>
      </c>
      <c r="E53" s="41">
        <f t="shared" si="19"/>
        <v>0</v>
      </c>
      <c r="F53" s="41">
        <f t="shared" si="19"/>
        <v>0</v>
      </c>
      <c r="G53" s="41">
        <f t="shared" si="19"/>
        <v>0</v>
      </c>
      <c r="H53" s="41">
        <f t="shared" si="19"/>
        <v>0</v>
      </c>
      <c r="I53" s="221">
        <f t="shared" si="1"/>
        <v>0</v>
      </c>
      <c r="J53" s="829" t="str">
        <f t="shared" si="2"/>
        <v/>
      </c>
      <c r="K53" s="119">
        <f>SUM(K54:K62)</f>
        <v>0</v>
      </c>
    </row>
    <row r="54" spans="1:11" ht="12.75" customHeight="1" x14ac:dyDescent="0.25">
      <c r="A54" s="694" t="s">
        <v>1290</v>
      </c>
      <c r="B54" s="142"/>
      <c r="C54" s="526">
        <v>0</v>
      </c>
      <c r="D54" s="328">
        <v>0</v>
      </c>
      <c r="E54" s="329">
        <v>0</v>
      </c>
      <c r="F54" s="329">
        <v>0</v>
      </c>
      <c r="G54" s="329">
        <v>0</v>
      </c>
      <c r="H54" s="329">
        <f t="shared" ref="H54:H62" si="20">E54/12*$L$1</f>
        <v>0</v>
      </c>
      <c r="I54" s="221">
        <f t="shared" si="1"/>
        <v>0</v>
      </c>
      <c r="J54" s="829" t="str">
        <f t="shared" si="2"/>
        <v/>
      </c>
      <c r="K54" s="517">
        <f t="shared" ref="K54:K62" si="21">E54</f>
        <v>0</v>
      </c>
    </row>
    <row r="55" spans="1:11" ht="12.75" customHeight="1" x14ac:dyDescent="0.25">
      <c r="A55" s="694" t="s">
        <v>1291</v>
      </c>
      <c r="B55" s="142"/>
      <c r="C55" s="526">
        <v>0</v>
      </c>
      <c r="D55" s="328">
        <v>0</v>
      </c>
      <c r="E55" s="329">
        <v>0</v>
      </c>
      <c r="F55" s="329">
        <v>0</v>
      </c>
      <c r="G55" s="329">
        <v>0</v>
      </c>
      <c r="H55" s="329">
        <f t="shared" si="20"/>
        <v>0</v>
      </c>
      <c r="I55" s="221">
        <f t="shared" si="1"/>
        <v>0</v>
      </c>
      <c r="J55" s="829" t="str">
        <f t="shared" si="2"/>
        <v/>
      </c>
      <c r="K55" s="517">
        <f t="shared" si="21"/>
        <v>0</v>
      </c>
    </row>
    <row r="56" spans="1:11" ht="12.75" customHeight="1" x14ac:dyDescent="0.25">
      <c r="A56" s="694" t="s">
        <v>1292</v>
      </c>
      <c r="B56" s="142"/>
      <c r="C56" s="526">
        <v>0</v>
      </c>
      <c r="D56" s="328">
        <v>0</v>
      </c>
      <c r="E56" s="329">
        <v>0</v>
      </c>
      <c r="F56" s="329">
        <v>0</v>
      </c>
      <c r="G56" s="329">
        <v>0</v>
      </c>
      <c r="H56" s="329">
        <f t="shared" si="20"/>
        <v>0</v>
      </c>
      <c r="I56" s="221">
        <f t="shared" si="1"/>
        <v>0</v>
      </c>
      <c r="J56" s="829" t="str">
        <f t="shared" si="2"/>
        <v/>
      </c>
      <c r="K56" s="517">
        <f t="shared" si="21"/>
        <v>0</v>
      </c>
    </row>
    <row r="57" spans="1:11" ht="12.75" customHeight="1" x14ac:dyDescent="0.25">
      <c r="A57" s="694" t="s">
        <v>1255</v>
      </c>
      <c r="B57" s="142"/>
      <c r="C57" s="526">
        <v>0</v>
      </c>
      <c r="D57" s="328">
        <v>0</v>
      </c>
      <c r="E57" s="329">
        <v>0</v>
      </c>
      <c r="F57" s="329">
        <v>0</v>
      </c>
      <c r="G57" s="329">
        <v>0</v>
      </c>
      <c r="H57" s="329">
        <f t="shared" si="20"/>
        <v>0</v>
      </c>
      <c r="I57" s="221">
        <f t="shared" si="1"/>
        <v>0</v>
      </c>
      <c r="J57" s="829" t="str">
        <f t="shared" si="2"/>
        <v/>
      </c>
      <c r="K57" s="517">
        <f t="shared" si="21"/>
        <v>0</v>
      </c>
    </row>
    <row r="58" spans="1:11" ht="12.75" customHeight="1" x14ac:dyDescent="0.25">
      <c r="A58" s="694" t="s">
        <v>1256</v>
      </c>
      <c r="B58" s="142"/>
      <c r="C58" s="526">
        <v>0</v>
      </c>
      <c r="D58" s="328">
        <v>0</v>
      </c>
      <c r="E58" s="329">
        <v>0</v>
      </c>
      <c r="F58" s="329">
        <v>0</v>
      </c>
      <c r="G58" s="329">
        <v>0</v>
      </c>
      <c r="H58" s="329">
        <f t="shared" si="20"/>
        <v>0</v>
      </c>
      <c r="I58" s="221">
        <f t="shared" si="1"/>
        <v>0</v>
      </c>
      <c r="J58" s="829" t="str">
        <f t="shared" si="2"/>
        <v/>
      </c>
      <c r="K58" s="517">
        <f t="shared" si="21"/>
        <v>0</v>
      </c>
    </row>
    <row r="59" spans="1:11" ht="12.75" customHeight="1" x14ac:dyDescent="0.25">
      <c r="A59" s="694" t="s">
        <v>1257</v>
      </c>
      <c r="B59" s="142"/>
      <c r="C59" s="526">
        <v>0</v>
      </c>
      <c r="D59" s="328">
        <v>0</v>
      </c>
      <c r="E59" s="329">
        <v>0</v>
      </c>
      <c r="F59" s="329">
        <v>0</v>
      </c>
      <c r="G59" s="329">
        <v>0</v>
      </c>
      <c r="H59" s="329">
        <f t="shared" si="20"/>
        <v>0</v>
      </c>
      <c r="I59" s="221">
        <f t="shared" si="1"/>
        <v>0</v>
      </c>
      <c r="J59" s="829" t="str">
        <f t="shared" si="2"/>
        <v/>
      </c>
      <c r="K59" s="517">
        <f t="shared" si="21"/>
        <v>0</v>
      </c>
    </row>
    <row r="60" spans="1:11" ht="12.75" customHeight="1" x14ac:dyDescent="0.25">
      <c r="A60" s="694" t="s">
        <v>1263</v>
      </c>
      <c r="B60" s="142"/>
      <c r="C60" s="526">
        <v>0</v>
      </c>
      <c r="D60" s="328">
        <v>0</v>
      </c>
      <c r="E60" s="329">
        <v>0</v>
      </c>
      <c r="F60" s="329">
        <v>0</v>
      </c>
      <c r="G60" s="329">
        <v>0</v>
      </c>
      <c r="H60" s="329">
        <f t="shared" si="20"/>
        <v>0</v>
      </c>
      <c r="I60" s="221">
        <f t="shared" si="1"/>
        <v>0</v>
      </c>
      <c r="J60" s="829" t="str">
        <f t="shared" si="2"/>
        <v/>
      </c>
      <c r="K60" s="517">
        <f t="shared" si="21"/>
        <v>0</v>
      </c>
    </row>
    <row r="61" spans="1:11" ht="12.75" customHeight="1" x14ac:dyDescent="0.25">
      <c r="A61" s="694" t="s">
        <v>1266</v>
      </c>
      <c r="B61" s="142"/>
      <c r="C61" s="526">
        <v>0</v>
      </c>
      <c r="D61" s="328">
        <v>0</v>
      </c>
      <c r="E61" s="329">
        <v>0</v>
      </c>
      <c r="F61" s="329">
        <v>0</v>
      </c>
      <c r="G61" s="329">
        <v>0</v>
      </c>
      <c r="H61" s="329">
        <f t="shared" si="20"/>
        <v>0</v>
      </c>
      <c r="I61" s="221">
        <f t="shared" si="1"/>
        <v>0</v>
      </c>
      <c r="J61" s="829" t="str">
        <f t="shared" si="2"/>
        <v/>
      </c>
      <c r="K61" s="517">
        <f t="shared" si="21"/>
        <v>0</v>
      </c>
    </row>
    <row r="62" spans="1:11" ht="12.75" customHeight="1" x14ac:dyDescent="0.25">
      <c r="A62" s="694" t="s">
        <v>1253</v>
      </c>
      <c r="B62" s="142"/>
      <c r="C62" s="526">
        <v>0</v>
      </c>
      <c r="D62" s="328">
        <v>0</v>
      </c>
      <c r="E62" s="329">
        <v>0</v>
      </c>
      <c r="F62" s="329">
        <v>0</v>
      </c>
      <c r="G62" s="329">
        <v>0</v>
      </c>
      <c r="H62" s="329">
        <f t="shared" si="20"/>
        <v>0</v>
      </c>
      <c r="I62" s="221">
        <f t="shared" si="1"/>
        <v>0</v>
      </c>
      <c r="J62" s="829" t="str">
        <f t="shared" si="2"/>
        <v/>
      </c>
      <c r="K62" s="517">
        <f t="shared" si="21"/>
        <v>0</v>
      </c>
    </row>
    <row r="63" spans="1:11" ht="12.75" customHeight="1" x14ac:dyDescent="0.25">
      <c r="A63" s="828" t="s">
        <v>1293</v>
      </c>
      <c r="B63" s="142"/>
      <c r="C63" s="111">
        <f t="shared" ref="C63:H63" si="22">SUM(C64:C68)</f>
        <v>0</v>
      </c>
      <c r="D63" s="43">
        <f t="shared" si="22"/>
        <v>0</v>
      </c>
      <c r="E63" s="41">
        <f t="shared" si="22"/>
        <v>0</v>
      </c>
      <c r="F63" s="41">
        <f t="shared" si="22"/>
        <v>0</v>
      </c>
      <c r="G63" s="41">
        <f t="shared" si="22"/>
        <v>0</v>
      </c>
      <c r="H63" s="41">
        <f t="shared" si="22"/>
        <v>0</v>
      </c>
      <c r="I63" s="221">
        <f t="shared" si="1"/>
        <v>0</v>
      </c>
      <c r="J63" s="829" t="str">
        <f t="shared" si="2"/>
        <v/>
      </c>
      <c r="K63" s="119">
        <f>SUM(K64:K68)</f>
        <v>0</v>
      </c>
    </row>
    <row r="64" spans="1:11" ht="12.75" customHeight="1" x14ac:dyDescent="0.25">
      <c r="A64" s="694" t="s">
        <v>1294</v>
      </c>
      <c r="B64" s="142"/>
      <c r="C64" s="526">
        <v>0</v>
      </c>
      <c r="D64" s="328">
        <v>0</v>
      </c>
      <c r="E64" s="329">
        <v>0</v>
      </c>
      <c r="F64" s="329">
        <v>0</v>
      </c>
      <c r="G64" s="329">
        <v>0</v>
      </c>
      <c r="H64" s="329">
        <f t="shared" ref="H64:H68" si="23">E64/12*$L$1</f>
        <v>0</v>
      </c>
      <c r="I64" s="221">
        <f t="shared" si="1"/>
        <v>0</v>
      </c>
      <c r="J64" s="829" t="str">
        <f t="shared" si="2"/>
        <v/>
      </c>
      <c r="K64" s="517">
        <f>E64</f>
        <v>0</v>
      </c>
    </row>
    <row r="65" spans="1:11" ht="12.75" customHeight="1" x14ac:dyDescent="0.25">
      <c r="A65" s="694" t="s">
        <v>1295</v>
      </c>
      <c r="B65" s="142"/>
      <c r="C65" s="526">
        <v>0</v>
      </c>
      <c r="D65" s="328">
        <v>0</v>
      </c>
      <c r="E65" s="329">
        <v>0</v>
      </c>
      <c r="F65" s="329">
        <v>0</v>
      </c>
      <c r="G65" s="329">
        <v>0</v>
      </c>
      <c r="H65" s="329">
        <f t="shared" si="23"/>
        <v>0</v>
      </c>
      <c r="I65" s="221">
        <f t="shared" si="1"/>
        <v>0</v>
      </c>
      <c r="J65" s="829" t="str">
        <f t="shared" si="2"/>
        <v/>
      </c>
      <c r="K65" s="517">
        <f>E65</f>
        <v>0</v>
      </c>
    </row>
    <row r="66" spans="1:11" ht="12.75" customHeight="1" x14ac:dyDescent="0.25">
      <c r="A66" s="694" t="s">
        <v>1296</v>
      </c>
      <c r="B66" s="142"/>
      <c r="C66" s="526">
        <v>0</v>
      </c>
      <c r="D66" s="328">
        <v>0</v>
      </c>
      <c r="E66" s="329">
        <v>0</v>
      </c>
      <c r="F66" s="329">
        <v>0</v>
      </c>
      <c r="G66" s="329">
        <v>0</v>
      </c>
      <c r="H66" s="329">
        <f t="shared" si="23"/>
        <v>0</v>
      </c>
      <c r="I66" s="221">
        <f t="shared" si="1"/>
        <v>0</v>
      </c>
      <c r="J66" s="829" t="str">
        <f t="shared" si="2"/>
        <v/>
      </c>
      <c r="K66" s="517">
        <f>E66</f>
        <v>0</v>
      </c>
    </row>
    <row r="67" spans="1:11" ht="12.75" customHeight="1" x14ac:dyDescent="0.25">
      <c r="A67" s="694" t="s">
        <v>1297</v>
      </c>
      <c r="B67" s="142"/>
      <c r="C67" s="526">
        <v>0</v>
      </c>
      <c r="D67" s="328">
        <v>0</v>
      </c>
      <c r="E67" s="329">
        <v>0</v>
      </c>
      <c r="F67" s="329">
        <v>0</v>
      </c>
      <c r="G67" s="329">
        <v>0</v>
      </c>
      <c r="H67" s="329">
        <f t="shared" si="23"/>
        <v>0</v>
      </c>
      <c r="I67" s="221">
        <f t="shared" si="1"/>
        <v>0</v>
      </c>
      <c r="J67" s="829" t="str">
        <f t="shared" si="2"/>
        <v/>
      </c>
      <c r="K67" s="517">
        <f>E67</f>
        <v>0</v>
      </c>
    </row>
    <row r="68" spans="1:11" ht="12.75" customHeight="1" x14ac:dyDescent="0.25">
      <c r="A68" s="694" t="s">
        <v>1253</v>
      </c>
      <c r="B68" s="142"/>
      <c r="C68" s="526">
        <v>0</v>
      </c>
      <c r="D68" s="328">
        <v>0</v>
      </c>
      <c r="E68" s="329">
        <v>0</v>
      </c>
      <c r="F68" s="329">
        <v>0</v>
      </c>
      <c r="G68" s="329">
        <v>0</v>
      </c>
      <c r="H68" s="329">
        <f t="shared" si="23"/>
        <v>0</v>
      </c>
      <c r="I68" s="221">
        <f t="shared" si="1"/>
        <v>0</v>
      </c>
      <c r="J68" s="829" t="str">
        <f t="shared" si="2"/>
        <v/>
      </c>
      <c r="K68" s="517">
        <f>E68</f>
        <v>0</v>
      </c>
    </row>
    <row r="69" spans="1:11" ht="12.75" customHeight="1" x14ac:dyDescent="0.25">
      <c r="A69" s="828" t="s">
        <v>1298</v>
      </c>
      <c r="B69" s="142"/>
      <c r="C69" s="111">
        <f t="shared" ref="C69:H69" si="24">SUM(C70:C73)</f>
        <v>0</v>
      </c>
      <c r="D69" s="43">
        <f t="shared" si="24"/>
        <v>0</v>
      </c>
      <c r="E69" s="41">
        <f t="shared" si="24"/>
        <v>0</v>
      </c>
      <c r="F69" s="41">
        <f t="shared" si="24"/>
        <v>0</v>
      </c>
      <c r="G69" s="41">
        <f t="shared" si="24"/>
        <v>0</v>
      </c>
      <c r="H69" s="41">
        <f t="shared" si="24"/>
        <v>0</v>
      </c>
      <c r="I69" s="221">
        <f t="shared" si="1"/>
        <v>0</v>
      </c>
      <c r="J69" s="829" t="str">
        <f t="shared" si="2"/>
        <v/>
      </c>
      <c r="K69" s="119">
        <f>SUM(K70:K73)</f>
        <v>0</v>
      </c>
    </row>
    <row r="70" spans="1:11" ht="12.75" customHeight="1" x14ac:dyDescent="0.25">
      <c r="A70" s="694" t="s">
        <v>1299</v>
      </c>
      <c r="B70" s="142"/>
      <c r="C70" s="526">
        <v>0</v>
      </c>
      <c r="D70" s="328">
        <v>0</v>
      </c>
      <c r="E70" s="329">
        <v>0</v>
      </c>
      <c r="F70" s="329">
        <v>0</v>
      </c>
      <c r="G70" s="329">
        <v>0</v>
      </c>
      <c r="H70" s="329">
        <f t="shared" ref="H70:H73" si="25">E70/12*$L$1</f>
        <v>0</v>
      </c>
      <c r="I70" s="221">
        <f t="shared" si="1"/>
        <v>0</v>
      </c>
      <c r="J70" s="829" t="str">
        <f t="shared" si="2"/>
        <v/>
      </c>
      <c r="K70" s="517">
        <f>E70</f>
        <v>0</v>
      </c>
    </row>
    <row r="71" spans="1:11" ht="12.75" customHeight="1" x14ac:dyDescent="0.25">
      <c r="A71" s="694" t="s">
        <v>1300</v>
      </c>
      <c r="B71" s="142"/>
      <c r="C71" s="526">
        <v>0</v>
      </c>
      <c r="D71" s="328">
        <v>0</v>
      </c>
      <c r="E71" s="329">
        <v>0</v>
      </c>
      <c r="F71" s="329">
        <v>0</v>
      </c>
      <c r="G71" s="329">
        <v>0</v>
      </c>
      <c r="H71" s="329">
        <f t="shared" si="25"/>
        <v>0</v>
      </c>
      <c r="I71" s="221">
        <f t="shared" si="1"/>
        <v>0</v>
      </c>
      <c r="J71" s="829" t="str">
        <f t="shared" si="2"/>
        <v/>
      </c>
      <c r="K71" s="517">
        <f>E71</f>
        <v>0</v>
      </c>
    </row>
    <row r="72" spans="1:11" ht="12.75" customHeight="1" x14ac:dyDescent="0.25">
      <c r="A72" s="694" t="s">
        <v>1301</v>
      </c>
      <c r="B72" s="142"/>
      <c r="C72" s="526">
        <v>0</v>
      </c>
      <c r="D72" s="328">
        <v>0</v>
      </c>
      <c r="E72" s="329">
        <v>0</v>
      </c>
      <c r="F72" s="329">
        <v>0</v>
      </c>
      <c r="G72" s="329">
        <v>0</v>
      </c>
      <c r="H72" s="329">
        <f t="shared" si="25"/>
        <v>0</v>
      </c>
      <c r="I72" s="221">
        <f t="shared" si="1"/>
        <v>0</v>
      </c>
      <c r="J72" s="829" t="str">
        <f t="shared" si="2"/>
        <v/>
      </c>
      <c r="K72" s="517">
        <f>E72</f>
        <v>0</v>
      </c>
    </row>
    <row r="73" spans="1:11" ht="12.75" customHeight="1" x14ac:dyDescent="0.25">
      <c r="A73" s="694" t="s">
        <v>1253</v>
      </c>
      <c r="B73" s="142"/>
      <c r="C73" s="526">
        <v>0</v>
      </c>
      <c r="D73" s="328">
        <v>0</v>
      </c>
      <c r="E73" s="329">
        <v>0</v>
      </c>
      <c r="F73" s="329">
        <v>0</v>
      </c>
      <c r="G73" s="329">
        <v>0</v>
      </c>
      <c r="H73" s="329">
        <f t="shared" si="25"/>
        <v>0</v>
      </c>
      <c r="I73" s="221">
        <f t="shared" si="1"/>
        <v>0</v>
      </c>
      <c r="J73" s="829" t="str">
        <f t="shared" si="2"/>
        <v/>
      </c>
      <c r="K73" s="517">
        <f>E73</f>
        <v>0</v>
      </c>
    </row>
    <row r="74" spans="1:11" ht="5.25" customHeight="1" x14ac:dyDescent="0.25">
      <c r="A74" s="694"/>
      <c r="B74" s="142"/>
      <c r="C74" s="111"/>
      <c r="D74" s="43"/>
      <c r="E74" s="41"/>
      <c r="F74" s="41"/>
      <c r="G74" s="41"/>
      <c r="H74" s="41"/>
      <c r="I74" s="221"/>
      <c r="J74" s="829" t="str">
        <f t="shared" si="2"/>
        <v/>
      </c>
      <c r="K74" s="119"/>
    </row>
    <row r="75" spans="1:11" ht="12.75" customHeight="1" x14ac:dyDescent="0.25">
      <c r="A75" s="32" t="s">
        <v>1322</v>
      </c>
      <c r="B75" s="142"/>
      <c r="C75" s="472">
        <f>+C76+C99</f>
        <v>0</v>
      </c>
      <c r="D75" s="830">
        <f>D76+D99</f>
        <v>5330000</v>
      </c>
      <c r="E75" s="474">
        <f>E76+E99</f>
        <v>7284029</v>
      </c>
      <c r="F75" s="474">
        <f>+F76+F99</f>
        <v>2409536.6799999936</v>
      </c>
      <c r="G75" s="474">
        <f>+G76+G99</f>
        <v>6729662.6400000621</v>
      </c>
      <c r="H75" s="474">
        <f>+H76+H99</f>
        <v>7284029</v>
      </c>
      <c r="I75" s="474">
        <f t="shared" si="1"/>
        <v>554366.35999993794</v>
      </c>
      <c r="J75" s="827">
        <f t="shared" si="2"/>
        <v>7.6107105010144518E-2</v>
      </c>
      <c r="K75" s="476">
        <f>+K76+K99</f>
        <v>7284029</v>
      </c>
    </row>
    <row r="76" spans="1:11" ht="12.75" customHeight="1" x14ac:dyDescent="0.25">
      <c r="A76" s="828" t="s">
        <v>1302</v>
      </c>
      <c r="B76" s="142"/>
      <c r="C76" s="111">
        <f t="shared" ref="C76:H76" si="26">SUM(C77:C98)</f>
        <v>0</v>
      </c>
      <c r="D76" s="43">
        <f t="shared" si="26"/>
        <v>1900000</v>
      </c>
      <c r="E76" s="41">
        <f t="shared" si="26"/>
        <v>6165001</v>
      </c>
      <c r="F76" s="41">
        <f t="shared" si="26"/>
        <v>2226432.1499999994</v>
      </c>
      <c r="G76" s="41">
        <f t="shared" si="26"/>
        <v>6546558.1100000013</v>
      </c>
      <c r="H76" s="41">
        <f t="shared" si="26"/>
        <v>6165001</v>
      </c>
      <c r="I76" s="221">
        <f t="shared" si="1"/>
        <v>-381557.11000000127</v>
      </c>
      <c r="J76" s="829">
        <f t="shared" si="2"/>
        <v>-6.1890843164502531E-2</v>
      </c>
      <c r="K76" s="119">
        <f>SUM(K77:K98)</f>
        <v>6165001</v>
      </c>
    </row>
    <row r="77" spans="1:11" ht="12.75" customHeight="1" x14ac:dyDescent="0.25">
      <c r="A77" s="694" t="s">
        <v>1303</v>
      </c>
      <c r="B77" s="142"/>
      <c r="C77" s="526">
        <v>0</v>
      </c>
      <c r="D77" s="531">
        <v>1000000</v>
      </c>
      <c r="E77" s="329">
        <v>50000</v>
      </c>
      <c r="F77" s="329">
        <v>0</v>
      </c>
      <c r="G77" s="329">
        <v>0</v>
      </c>
      <c r="H77" s="329">
        <f t="shared" ref="H77:H98" si="27">E77/12*$L$1</f>
        <v>50000</v>
      </c>
      <c r="I77" s="41">
        <f t="shared" si="1"/>
        <v>50000</v>
      </c>
      <c r="J77" s="826">
        <f t="shared" si="2"/>
        <v>1</v>
      </c>
      <c r="K77" s="517">
        <f t="shared" ref="K77:K98" si="28">E77</f>
        <v>50000</v>
      </c>
    </row>
    <row r="78" spans="1:11" ht="12.75" customHeight="1" x14ac:dyDescent="0.25">
      <c r="A78" s="694" t="s">
        <v>1304</v>
      </c>
      <c r="B78" s="142"/>
      <c r="C78" s="526">
        <v>0</v>
      </c>
      <c r="D78" s="531">
        <v>0</v>
      </c>
      <c r="E78" s="329">
        <v>0</v>
      </c>
      <c r="F78" s="329">
        <v>0</v>
      </c>
      <c r="G78" s="329">
        <v>0</v>
      </c>
      <c r="H78" s="329">
        <f t="shared" si="27"/>
        <v>0</v>
      </c>
      <c r="I78" s="41">
        <f t="shared" si="1"/>
        <v>0</v>
      </c>
      <c r="J78" s="826" t="str">
        <f t="shared" si="2"/>
        <v/>
      </c>
      <c r="K78" s="517">
        <f t="shared" si="28"/>
        <v>0</v>
      </c>
    </row>
    <row r="79" spans="1:11" ht="12.75" customHeight="1" x14ac:dyDescent="0.25">
      <c r="A79" s="694" t="s">
        <v>1305</v>
      </c>
      <c r="B79" s="142"/>
      <c r="C79" s="526">
        <v>0</v>
      </c>
      <c r="D79" s="531">
        <v>0</v>
      </c>
      <c r="E79" s="329">
        <v>0</v>
      </c>
      <c r="F79" s="329">
        <v>0</v>
      </c>
      <c r="G79" s="329">
        <v>0</v>
      </c>
      <c r="H79" s="329">
        <f t="shared" si="27"/>
        <v>0</v>
      </c>
      <c r="I79" s="41">
        <f t="shared" si="1"/>
        <v>0</v>
      </c>
      <c r="J79" s="826" t="str">
        <f t="shared" si="2"/>
        <v/>
      </c>
      <c r="K79" s="517">
        <f t="shared" si="28"/>
        <v>0</v>
      </c>
    </row>
    <row r="80" spans="1:11" ht="12.75" customHeight="1" x14ac:dyDescent="0.25">
      <c r="A80" s="694" t="s">
        <v>1306</v>
      </c>
      <c r="B80" s="142"/>
      <c r="C80" s="526">
        <v>0</v>
      </c>
      <c r="D80" s="531">
        <v>0</v>
      </c>
      <c r="E80" s="329">
        <v>0</v>
      </c>
      <c r="F80" s="329">
        <v>0</v>
      </c>
      <c r="G80" s="329">
        <v>0</v>
      </c>
      <c r="H80" s="329">
        <f t="shared" si="27"/>
        <v>0</v>
      </c>
      <c r="I80" s="41">
        <f t="shared" si="1"/>
        <v>0</v>
      </c>
      <c r="J80" s="826" t="str">
        <f t="shared" si="2"/>
        <v/>
      </c>
      <c r="K80" s="517">
        <f t="shared" si="28"/>
        <v>0</v>
      </c>
    </row>
    <row r="81" spans="1:11" ht="12.75" customHeight="1" x14ac:dyDescent="0.25">
      <c r="A81" s="694" t="s">
        <v>1307</v>
      </c>
      <c r="B81" s="142"/>
      <c r="C81" s="526">
        <v>0</v>
      </c>
      <c r="D81" s="531">
        <v>0</v>
      </c>
      <c r="E81" s="329">
        <v>0</v>
      </c>
      <c r="F81" s="329">
        <v>0</v>
      </c>
      <c r="G81" s="329">
        <v>0</v>
      </c>
      <c r="H81" s="329">
        <f t="shared" si="27"/>
        <v>0</v>
      </c>
      <c r="I81" s="41">
        <f t="shared" si="1"/>
        <v>0</v>
      </c>
      <c r="J81" s="826" t="str">
        <f t="shared" si="2"/>
        <v/>
      </c>
      <c r="K81" s="517">
        <f t="shared" si="28"/>
        <v>0</v>
      </c>
    </row>
    <row r="82" spans="1:11" ht="12.75" customHeight="1" x14ac:dyDescent="0.25">
      <c r="A82" s="694" t="s">
        <v>1308</v>
      </c>
      <c r="B82" s="142"/>
      <c r="C82" s="526">
        <v>0</v>
      </c>
      <c r="D82" s="531">
        <v>0</v>
      </c>
      <c r="E82" s="329">
        <v>0</v>
      </c>
      <c r="F82" s="329">
        <v>0</v>
      </c>
      <c r="G82" s="329">
        <v>0</v>
      </c>
      <c r="H82" s="329">
        <f t="shared" si="27"/>
        <v>0</v>
      </c>
      <c r="I82" s="41">
        <f t="shared" si="1"/>
        <v>0</v>
      </c>
      <c r="J82" s="826" t="str">
        <f t="shared" si="2"/>
        <v/>
      </c>
      <c r="K82" s="517">
        <f t="shared" si="28"/>
        <v>0</v>
      </c>
    </row>
    <row r="83" spans="1:11" ht="12.75" customHeight="1" x14ac:dyDescent="0.25">
      <c r="A83" s="694" t="s">
        <v>1309</v>
      </c>
      <c r="B83" s="142"/>
      <c r="C83" s="526">
        <v>0</v>
      </c>
      <c r="D83" s="531">
        <v>0</v>
      </c>
      <c r="E83" s="329">
        <v>0</v>
      </c>
      <c r="F83" s="329">
        <v>0</v>
      </c>
      <c r="G83" s="329">
        <v>0</v>
      </c>
      <c r="H83" s="329">
        <f t="shared" si="27"/>
        <v>0</v>
      </c>
      <c r="I83" s="41">
        <f t="shared" si="1"/>
        <v>0</v>
      </c>
      <c r="J83" s="826" t="str">
        <f t="shared" si="2"/>
        <v/>
      </c>
      <c r="K83" s="517">
        <f t="shared" si="28"/>
        <v>0</v>
      </c>
    </row>
    <row r="84" spans="1:11" ht="12.75" customHeight="1" x14ac:dyDescent="0.25">
      <c r="A84" s="694" t="s">
        <v>1310</v>
      </c>
      <c r="B84" s="142"/>
      <c r="C84" s="526">
        <v>0</v>
      </c>
      <c r="D84" s="531">
        <v>0</v>
      </c>
      <c r="E84" s="329">
        <v>0</v>
      </c>
      <c r="F84" s="329">
        <v>0</v>
      </c>
      <c r="G84" s="329">
        <v>0</v>
      </c>
      <c r="H84" s="329">
        <f t="shared" si="27"/>
        <v>0</v>
      </c>
      <c r="I84" s="41">
        <f t="shared" si="1"/>
        <v>0</v>
      </c>
      <c r="J84" s="826" t="str">
        <f t="shared" si="2"/>
        <v/>
      </c>
      <c r="K84" s="517">
        <f t="shared" si="28"/>
        <v>0</v>
      </c>
    </row>
    <row r="85" spans="1:11" ht="12.75" customHeight="1" x14ac:dyDescent="0.25">
      <c r="A85" s="694" t="s">
        <v>1186</v>
      </c>
      <c r="B85" s="142"/>
      <c r="C85" s="526">
        <v>0</v>
      </c>
      <c r="D85" s="531">
        <v>0</v>
      </c>
      <c r="E85" s="329">
        <v>0</v>
      </c>
      <c r="F85" s="329">
        <v>0</v>
      </c>
      <c r="G85" s="329">
        <v>0</v>
      </c>
      <c r="H85" s="329">
        <f t="shared" si="27"/>
        <v>0</v>
      </c>
      <c r="I85" s="41">
        <f t="shared" si="1"/>
        <v>0</v>
      </c>
      <c r="J85" s="826" t="str">
        <f t="shared" si="2"/>
        <v/>
      </c>
      <c r="K85" s="517">
        <f t="shared" si="28"/>
        <v>0</v>
      </c>
    </row>
    <row r="86" spans="1:11" ht="12.75" customHeight="1" x14ac:dyDescent="0.25">
      <c r="A86" s="694" t="s">
        <v>564</v>
      </c>
      <c r="B86" s="142"/>
      <c r="C86" s="526">
        <v>0</v>
      </c>
      <c r="D86" s="531">
        <v>900000</v>
      </c>
      <c r="E86" s="329">
        <v>6115001</v>
      </c>
      <c r="F86" s="329">
        <v>2226432.1499999994</v>
      </c>
      <c r="G86" s="329">
        <v>6546558.1100000013</v>
      </c>
      <c r="H86" s="329">
        <f t="shared" si="27"/>
        <v>6115001</v>
      </c>
      <c r="I86" s="41">
        <f t="shared" si="1"/>
        <v>-431557.11000000127</v>
      </c>
      <c r="J86" s="826">
        <f t="shared" si="2"/>
        <v>-7.0573514215288152E-2</v>
      </c>
      <c r="K86" s="517">
        <f t="shared" si="28"/>
        <v>6115001</v>
      </c>
    </row>
    <row r="87" spans="1:11" ht="12.75" customHeight="1" x14ac:dyDescent="0.25">
      <c r="A87" s="694" t="s">
        <v>1311</v>
      </c>
      <c r="B87" s="142"/>
      <c r="C87" s="526">
        <v>0</v>
      </c>
      <c r="D87" s="531">
        <v>0</v>
      </c>
      <c r="E87" s="329">
        <v>0</v>
      </c>
      <c r="F87" s="329">
        <v>0</v>
      </c>
      <c r="G87" s="329">
        <v>0</v>
      </c>
      <c r="H87" s="329">
        <f t="shared" si="27"/>
        <v>0</v>
      </c>
      <c r="I87" s="41">
        <f t="shared" si="1"/>
        <v>0</v>
      </c>
      <c r="J87" s="826" t="str">
        <f t="shared" si="2"/>
        <v/>
      </c>
      <c r="K87" s="517">
        <f t="shared" si="28"/>
        <v>0</v>
      </c>
    </row>
    <row r="88" spans="1:11" ht="12.75" customHeight="1" x14ac:dyDescent="0.25">
      <c r="A88" s="694" t="s">
        <v>170</v>
      </c>
      <c r="B88" s="142"/>
      <c r="C88" s="526">
        <v>0</v>
      </c>
      <c r="D88" s="531">
        <v>0</v>
      </c>
      <c r="E88" s="329">
        <v>0</v>
      </c>
      <c r="F88" s="329">
        <v>0</v>
      </c>
      <c r="G88" s="329">
        <v>0</v>
      </c>
      <c r="H88" s="329">
        <f t="shared" si="27"/>
        <v>0</v>
      </c>
      <c r="I88" s="41">
        <f t="shared" si="1"/>
        <v>0</v>
      </c>
      <c r="J88" s="826" t="str">
        <f t="shared" si="2"/>
        <v/>
      </c>
      <c r="K88" s="517">
        <f t="shared" si="28"/>
        <v>0</v>
      </c>
    </row>
    <row r="89" spans="1:11" ht="12.75" customHeight="1" x14ac:dyDescent="0.25">
      <c r="A89" s="694" t="s">
        <v>1312</v>
      </c>
      <c r="B89" s="142"/>
      <c r="C89" s="526">
        <v>0</v>
      </c>
      <c r="D89" s="531">
        <v>0</v>
      </c>
      <c r="E89" s="329">
        <v>0</v>
      </c>
      <c r="F89" s="329">
        <v>0</v>
      </c>
      <c r="G89" s="329">
        <v>0</v>
      </c>
      <c r="H89" s="329">
        <f t="shared" si="27"/>
        <v>0</v>
      </c>
      <c r="I89" s="41">
        <f t="shared" si="1"/>
        <v>0</v>
      </c>
      <c r="J89" s="826" t="str">
        <f t="shared" si="2"/>
        <v/>
      </c>
      <c r="K89" s="517">
        <f t="shared" si="28"/>
        <v>0</v>
      </c>
    </row>
    <row r="90" spans="1:11" ht="12.75" customHeight="1" x14ac:dyDescent="0.25">
      <c r="A90" s="694" t="s">
        <v>1313</v>
      </c>
      <c r="B90" s="142"/>
      <c r="C90" s="526">
        <v>0</v>
      </c>
      <c r="D90" s="531">
        <v>0</v>
      </c>
      <c r="E90" s="329">
        <v>0</v>
      </c>
      <c r="F90" s="329">
        <v>0</v>
      </c>
      <c r="G90" s="329">
        <v>0</v>
      </c>
      <c r="H90" s="329">
        <f t="shared" si="27"/>
        <v>0</v>
      </c>
      <c r="I90" s="41">
        <f t="shared" si="1"/>
        <v>0</v>
      </c>
      <c r="J90" s="826" t="str">
        <f t="shared" si="2"/>
        <v/>
      </c>
      <c r="K90" s="517">
        <f t="shared" si="28"/>
        <v>0</v>
      </c>
    </row>
    <row r="91" spans="1:11" ht="12.75" customHeight="1" x14ac:dyDescent="0.25">
      <c r="A91" s="694" t="s">
        <v>1314</v>
      </c>
      <c r="B91" s="142"/>
      <c r="C91" s="526">
        <v>0</v>
      </c>
      <c r="D91" s="531">
        <v>0</v>
      </c>
      <c r="E91" s="329">
        <v>0</v>
      </c>
      <c r="F91" s="329">
        <v>0</v>
      </c>
      <c r="G91" s="329">
        <v>0</v>
      </c>
      <c r="H91" s="329">
        <f t="shared" si="27"/>
        <v>0</v>
      </c>
      <c r="I91" s="41">
        <f t="shared" si="1"/>
        <v>0</v>
      </c>
      <c r="J91" s="826" t="str">
        <f t="shared" si="2"/>
        <v/>
      </c>
      <c r="K91" s="517">
        <f t="shared" si="28"/>
        <v>0</v>
      </c>
    </row>
    <row r="92" spans="1:11" ht="12.75" customHeight="1" x14ac:dyDescent="0.25">
      <c r="A92" s="694" t="s">
        <v>1315</v>
      </c>
      <c r="B92" s="142"/>
      <c r="C92" s="526">
        <v>0</v>
      </c>
      <c r="D92" s="531">
        <v>0</v>
      </c>
      <c r="E92" s="329">
        <v>0</v>
      </c>
      <c r="F92" s="329">
        <v>0</v>
      </c>
      <c r="G92" s="329">
        <v>0</v>
      </c>
      <c r="H92" s="329">
        <f t="shared" si="27"/>
        <v>0</v>
      </c>
      <c r="I92" s="41">
        <f t="shared" si="1"/>
        <v>0</v>
      </c>
      <c r="J92" s="826" t="str">
        <f t="shared" si="2"/>
        <v/>
      </c>
      <c r="K92" s="517">
        <f t="shared" si="28"/>
        <v>0</v>
      </c>
    </row>
    <row r="93" spans="1:11" ht="12.75" customHeight="1" x14ac:dyDescent="0.25">
      <c r="A93" s="694" t="s">
        <v>448</v>
      </c>
      <c r="B93" s="142"/>
      <c r="C93" s="526">
        <v>0</v>
      </c>
      <c r="D93" s="531">
        <v>0</v>
      </c>
      <c r="E93" s="329">
        <v>0</v>
      </c>
      <c r="F93" s="329">
        <v>0</v>
      </c>
      <c r="G93" s="329">
        <v>0</v>
      </c>
      <c r="H93" s="329">
        <f t="shared" si="27"/>
        <v>0</v>
      </c>
      <c r="I93" s="41">
        <f t="shared" si="1"/>
        <v>0</v>
      </c>
      <c r="J93" s="826" t="str">
        <f t="shared" si="2"/>
        <v/>
      </c>
      <c r="K93" s="517">
        <f t="shared" si="28"/>
        <v>0</v>
      </c>
    </row>
    <row r="94" spans="1:11" ht="12.75" customHeight="1" x14ac:dyDescent="0.25">
      <c r="A94" s="694" t="s">
        <v>1316</v>
      </c>
      <c r="B94" s="142"/>
      <c r="C94" s="526">
        <v>0</v>
      </c>
      <c r="D94" s="531">
        <v>0</v>
      </c>
      <c r="E94" s="329">
        <v>0</v>
      </c>
      <c r="F94" s="329">
        <v>0</v>
      </c>
      <c r="G94" s="329">
        <v>0</v>
      </c>
      <c r="H94" s="329">
        <f t="shared" si="27"/>
        <v>0</v>
      </c>
      <c r="I94" s="41">
        <f t="shared" si="1"/>
        <v>0</v>
      </c>
      <c r="J94" s="826" t="str">
        <f t="shared" si="2"/>
        <v/>
      </c>
      <c r="K94" s="517">
        <f t="shared" si="28"/>
        <v>0</v>
      </c>
    </row>
    <row r="95" spans="1:11" ht="12.75" customHeight="1" x14ac:dyDescent="0.25">
      <c r="A95" s="694" t="s">
        <v>447</v>
      </c>
      <c r="B95" s="142"/>
      <c r="C95" s="526">
        <v>0</v>
      </c>
      <c r="D95" s="531">
        <v>0</v>
      </c>
      <c r="E95" s="329">
        <v>0</v>
      </c>
      <c r="F95" s="329">
        <v>0</v>
      </c>
      <c r="G95" s="329">
        <v>0</v>
      </c>
      <c r="H95" s="329">
        <f t="shared" si="27"/>
        <v>0</v>
      </c>
      <c r="I95" s="41">
        <f t="shared" si="1"/>
        <v>0</v>
      </c>
      <c r="J95" s="826" t="str">
        <f t="shared" si="2"/>
        <v/>
      </c>
      <c r="K95" s="517">
        <f t="shared" si="28"/>
        <v>0</v>
      </c>
    </row>
    <row r="96" spans="1:11" ht="12.75" customHeight="1" x14ac:dyDescent="0.25">
      <c r="A96" s="694" t="s">
        <v>1317</v>
      </c>
      <c r="B96" s="142"/>
      <c r="C96" s="526">
        <v>0</v>
      </c>
      <c r="D96" s="531">
        <v>0</v>
      </c>
      <c r="E96" s="329">
        <v>0</v>
      </c>
      <c r="F96" s="329">
        <v>0</v>
      </c>
      <c r="G96" s="329">
        <v>0</v>
      </c>
      <c r="H96" s="329">
        <f t="shared" si="27"/>
        <v>0</v>
      </c>
      <c r="I96" s="41">
        <f t="shared" si="1"/>
        <v>0</v>
      </c>
      <c r="J96" s="826" t="str">
        <f t="shared" si="2"/>
        <v/>
      </c>
      <c r="K96" s="517">
        <f t="shared" si="28"/>
        <v>0</v>
      </c>
    </row>
    <row r="97" spans="1:11" ht="12.75" customHeight="1" x14ac:dyDescent="0.25">
      <c r="A97" s="694" t="s">
        <v>1318</v>
      </c>
      <c r="B97" s="142"/>
      <c r="C97" s="526">
        <v>0</v>
      </c>
      <c r="D97" s="531">
        <v>0</v>
      </c>
      <c r="E97" s="329">
        <v>0</v>
      </c>
      <c r="F97" s="329">
        <v>0</v>
      </c>
      <c r="G97" s="329">
        <v>0</v>
      </c>
      <c r="H97" s="329">
        <f t="shared" si="27"/>
        <v>0</v>
      </c>
      <c r="I97" s="41">
        <f t="shared" si="1"/>
        <v>0</v>
      </c>
      <c r="J97" s="826" t="str">
        <f t="shared" si="2"/>
        <v/>
      </c>
      <c r="K97" s="517">
        <f t="shared" si="28"/>
        <v>0</v>
      </c>
    </row>
    <row r="98" spans="1:11" ht="12.75" customHeight="1" x14ac:dyDescent="0.25">
      <c r="A98" s="694" t="s">
        <v>1253</v>
      </c>
      <c r="B98" s="142"/>
      <c r="C98" s="526">
        <v>0</v>
      </c>
      <c r="D98" s="531">
        <v>0</v>
      </c>
      <c r="E98" s="329">
        <v>0</v>
      </c>
      <c r="F98" s="329">
        <v>0</v>
      </c>
      <c r="G98" s="329">
        <v>0</v>
      </c>
      <c r="H98" s="329">
        <f t="shared" si="27"/>
        <v>0</v>
      </c>
      <c r="I98" s="41">
        <f t="shared" si="1"/>
        <v>0</v>
      </c>
      <c r="J98" s="826" t="str">
        <f t="shared" si="2"/>
        <v/>
      </c>
      <c r="K98" s="517">
        <f t="shared" si="28"/>
        <v>0</v>
      </c>
    </row>
    <row r="99" spans="1:11" ht="12.75" customHeight="1" x14ac:dyDescent="0.25">
      <c r="A99" s="828" t="s">
        <v>1319</v>
      </c>
      <c r="B99" s="142"/>
      <c r="C99" s="111">
        <f t="shared" ref="C99:H99" si="29">SUM(C100:C102)</f>
        <v>0</v>
      </c>
      <c r="D99" s="43">
        <f t="shared" si="29"/>
        <v>3430000</v>
      </c>
      <c r="E99" s="41">
        <f t="shared" si="29"/>
        <v>1119028</v>
      </c>
      <c r="F99" s="41">
        <f t="shared" si="29"/>
        <v>183104.529999994</v>
      </c>
      <c r="G99" s="41">
        <f t="shared" si="29"/>
        <v>183104.530000061</v>
      </c>
      <c r="H99" s="41">
        <f t="shared" si="29"/>
        <v>1119028</v>
      </c>
      <c r="I99" s="221">
        <f t="shared" si="1"/>
        <v>935923.46999993897</v>
      </c>
      <c r="J99" s="829">
        <f t="shared" si="2"/>
        <v>0.83637180660353361</v>
      </c>
      <c r="K99" s="119">
        <f>SUM(K100:K102)</f>
        <v>1119028</v>
      </c>
    </row>
    <row r="100" spans="1:11" ht="12.75" customHeight="1" x14ac:dyDescent="0.25">
      <c r="A100" s="694" t="s">
        <v>1320</v>
      </c>
      <c r="B100" s="142"/>
      <c r="C100" s="526">
        <v>0</v>
      </c>
      <c r="D100" s="531">
        <v>0</v>
      </c>
      <c r="E100" s="329">
        <v>0</v>
      </c>
      <c r="F100" s="329">
        <v>0</v>
      </c>
      <c r="G100" s="329">
        <v>0</v>
      </c>
      <c r="H100" s="329">
        <f t="shared" ref="H100:H102" si="30">E100/12*$L$1</f>
        <v>0</v>
      </c>
      <c r="I100" s="41">
        <f t="shared" si="1"/>
        <v>0</v>
      </c>
      <c r="J100" s="826" t="str">
        <f t="shared" si="2"/>
        <v/>
      </c>
      <c r="K100" s="517">
        <f>E100</f>
        <v>0</v>
      </c>
    </row>
    <row r="101" spans="1:11" ht="12.75" customHeight="1" x14ac:dyDescent="0.25">
      <c r="A101" s="694" t="s">
        <v>1321</v>
      </c>
      <c r="B101" s="142"/>
      <c r="C101" s="526">
        <v>0</v>
      </c>
      <c r="D101" s="531">
        <v>3430000</v>
      </c>
      <c r="E101" s="329">
        <v>1119028</v>
      </c>
      <c r="F101" s="329">
        <v>183104.529999994</v>
      </c>
      <c r="G101" s="329">
        <v>183104.530000061</v>
      </c>
      <c r="H101" s="329">
        <f t="shared" si="30"/>
        <v>1119028</v>
      </c>
      <c r="I101" s="41">
        <f>H101-G101</f>
        <v>935923.46999993897</v>
      </c>
      <c r="J101" s="826">
        <f>IF(I101=0,"",I101/H101)</f>
        <v>0.83637180660353361</v>
      </c>
      <c r="K101" s="517">
        <f>E101</f>
        <v>1119028</v>
      </c>
    </row>
    <row r="102" spans="1:11" ht="12.75" customHeight="1" x14ac:dyDescent="0.25">
      <c r="A102" s="694" t="s">
        <v>1253</v>
      </c>
      <c r="B102" s="142"/>
      <c r="C102" s="526">
        <v>0</v>
      </c>
      <c r="D102" s="531">
        <v>0</v>
      </c>
      <c r="E102" s="329">
        <v>0</v>
      </c>
      <c r="F102" s="329">
        <v>0</v>
      </c>
      <c r="G102" s="329">
        <v>0</v>
      </c>
      <c r="H102" s="329">
        <f t="shared" si="30"/>
        <v>0</v>
      </c>
      <c r="I102" s="41">
        <f t="shared" si="1"/>
        <v>0</v>
      </c>
      <c r="J102" s="826" t="str">
        <f t="shared" si="2"/>
        <v/>
      </c>
      <c r="K102" s="517">
        <f>E102</f>
        <v>0</v>
      </c>
    </row>
    <row r="103" spans="1:11" ht="5.0999999999999996" customHeight="1" x14ac:dyDescent="0.25">
      <c r="A103" s="39"/>
      <c r="B103" s="142"/>
      <c r="C103" s="111"/>
      <c r="D103" s="221"/>
      <c r="E103" s="41"/>
      <c r="F103" s="41"/>
      <c r="G103" s="41"/>
      <c r="H103" s="41"/>
      <c r="I103" s="41">
        <f>H103-G103</f>
        <v>0</v>
      </c>
      <c r="J103" s="826" t="str">
        <f>IF(I103=0,"",I103/H103)</f>
        <v/>
      </c>
      <c r="K103" s="119"/>
    </row>
    <row r="104" spans="1:11" ht="12.75" customHeight="1" x14ac:dyDescent="0.25">
      <c r="A104" s="32" t="s">
        <v>681</v>
      </c>
      <c r="B104" s="142"/>
      <c r="C104" s="212">
        <f t="shared" ref="C104:H104" si="31">SUM(C105:C109)</f>
        <v>0</v>
      </c>
      <c r="D104" s="831">
        <f t="shared" si="31"/>
        <v>0</v>
      </c>
      <c r="E104" s="85">
        <f t="shared" si="31"/>
        <v>0</v>
      </c>
      <c r="F104" s="85">
        <f t="shared" si="31"/>
        <v>0</v>
      </c>
      <c r="G104" s="85">
        <f t="shared" si="31"/>
        <v>0</v>
      </c>
      <c r="H104" s="85">
        <f t="shared" si="31"/>
        <v>0</v>
      </c>
      <c r="I104" s="85">
        <f t="shared" si="1"/>
        <v>0</v>
      </c>
      <c r="J104" s="832" t="str">
        <f t="shared" si="2"/>
        <v/>
      </c>
      <c r="K104" s="160">
        <f>SUM(K105:K109)</f>
        <v>0</v>
      </c>
    </row>
    <row r="105" spans="1:11" ht="12.75" customHeight="1" x14ac:dyDescent="0.25">
      <c r="A105" s="828" t="s">
        <v>1323</v>
      </c>
      <c r="B105" s="142"/>
      <c r="C105" s="548">
        <v>0</v>
      </c>
      <c r="D105" s="531">
        <v>0</v>
      </c>
      <c r="E105" s="329">
        <v>0</v>
      </c>
      <c r="F105" s="329">
        <v>0</v>
      </c>
      <c r="G105" s="329">
        <v>0</v>
      </c>
      <c r="H105" s="329">
        <f t="shared" ref="H105:H109" si="32">E105/12*$L$1</f>
        <v>0</v>
      </c>
      <c r="I105" s="41">
        <f t="shared" si="1"/>
        <v>0</v>
      </c>
      <c r="J105" s="826" t="str">
        <f t="shared" si="2"/>
        <v/>
      </c>
      <c r="K105" s="517">
        <f>E105</f>
        <v>0</v>
      </c>
    </row>
    <row r="106" spans="1:11" ht="12.75" customHeight="1" x14ac:dyDescent="0.25">
      <c r="A106" s="828" t="s">
        <v>1324</v>
      </c>
      <c r="B106" s="142"/>
      <c r="C106" s="548">
        <v>0</v>
      </c>
      <c r="D106" s="531">
        <v>0</v>
      </c>
      <c r="E106" s="329">
        <v>0</v>
      </c>
      <c r="F106" s="329">
        <v>0</v>
      </c>
      <c r="G106" s="329">
        <v>0</v>
      </c>
      <c r="H106" s="329">
        <f t="shared" si="32"/>
        <v>0</v>
      </c>
      <c r="I106" s="41">
        <f t="shared" si="1"/>
        <v>0</v>
      </c>
      <c r="J106" s="826" t="str">
        <f t="shared" si="2"/>
        <v/>
      </c>
      <c r="K106" s="517">
        <f>E106</f>
        <v>0</v>
      </c>
    </row>
    <row r="107" spans="1:11" ht="12.75" customHeight="1" x14ac:dyDescent="0.25">
      <c r="A107" s="828" t="s">
        <v>1325</v>
      </c>
      <c r="B107" s="142"/>
      <c r="C107" s="548">
        <v>0</v>
      </c>
      <c r="D107" s="531">
        <v>0</v>
      </c>
      <c r="E107" s="329">
        <v>0</v>
      </c>
      <c r="F107" s="329">
        <v>0</v>
      </c>
      <c r="G107" s="329">
        <v>0</v>
      </c>
      <c r="H107" s="329">
        <f t="shared" si="32"/>
        <v>0</v>
      </c>
      <c r="I107" s="41">
        <f t="shared" si="1"/>
        <v>0</v>
      </c>
      <c r="J107" s="826" t="str">
        <f t="shared" si="2"/>
        <v/>
      </c>
      <c r="K107" s="517">
        <f>E107</f>
        <v>0</v>
      </c>
    </row>
    <row r="108" spans="1:11" ht="12.75" customHeight="1" x14ac:dyDescent="0.25">
      <c r="A108" s="828" t="s">
        <v>1326</v>
      </c>
      <c r="B108" s="142"/>
      <c r="C108" s="548">
        <v>0</v>
      </c>
      <c r="D108" s="531">
        <v>0</v>
      </c>
      <c r="E108" s="329">
        <v>0</v>
      </c>
      <c r="F108" s="329">
        <v>0</v>
      </c>
      <c r="G108" s="329">
        <v>0</v>
      </c>
      <c r="H108" s="329">
        <f t="shared" si="32"/>
        <v>0</v>
      </c>
      <c r="I108" s="41">
        <f t="shared" si="1"/>
        <v>0</v>
      </c>
      <c r="J108" s="826" t="str">
        <f t="shared" si="2"/>
        <v/>
      </c>
      <c r="K108" s="517">
        <f>E108</f>
        <v>0</v>
      </c>
    </row>
    <row r="109" spans="1:11" ht="12.75" customHeight="1" x14ac:dyDescent="0.25">
      <c r="A109" s="828" t="s">
        <v>1327</v>
      </c>
      <c r="B109" s="142"/>
      <c r="C109" s="548">
        <v>0</v>
      </c>
      <c r="D109" s="531">
        <v>0</v>
      </c>
      <c r="E109" s="329">
        <v>0</v>
      </c>
      <c r="F109" s="329">
        <v>0</v>
      </c>
      <c r="G109" s="329">
        <v>0</v>
      </c>
      <c r="H109" s="329">
        <f t="shared" si="32"/>
        <v>0</v>
      </c>
      <c r="I109" s="41">
        <f t="shared" si="1"/>
        <v>0</v>
      </c>
      <c r="J109" s="826" t="str">
        <f t="shared" si="2"/>
        <v/>
      </c>
      <c r="K109" s="517">
        <f>E109</f>
        <v>0</v>
      </c>
    </row>
    <row r="110" spans="1:11" ht="5.0999999999999996" customHeight="1" x14ac:dyDescent="0.25">
      <c r="A110" s="39"/>
      <c r="B110" s="142"/>
      <c r="C110" s="111"/>
      <c r="D110" s="221"/>
      <c r="E110" s="41"/>
      <c r="F110" s="41"/>
      <c r="G110" s="41"/>
      <c r="H110" s="41"/>
      <c r="I110" s="41">
        <f t="shared" si="1"/>
        <v>0</v>
      </c>
      <c r="J110" s="826" t="str">
        <f t="shared" si="2"/>
        <v/>
      </c>
      <c r="K110" s="119"/>
    </row>
    <row r="111" spans="1:11" ht="12.75" customHeight="1" x14ac:dyDescent="0.25">
      <c r="A111" s="32" t="s">
        <v>682</v>
      </c>
      <c r="B111" s="35"/>
      <c r="C111" s="472">
        <f t="shared" ref="C111:H111" si="33">+C112+C115</f>
        <v>0</v>
      </c>
      <c r="D111" s="830">
        <f t="shared" si="33"/>
        <v>0</v>
      </c>
      <c r="E111" s="474">
        <f t="shared" si="33"/>
        <v>0</v>
      </c>
      <c r="F111" s="474">
        <f t="shared" si="33"/>
        <v>0</v>
      </c>
      <c r="G111" s="474">
        <f t="shared" si="33"/>
        <v>0</v>
      </c>
      <c r="H111" s="474">
        <f t="shared" si="33"/>
        <v>0</v>
      </c>
      <c r="I111" s="85">
        <f t="shared" si="1"/>
        <v>0</v>
      </c>
      <c r="J111" s="832" t="str">
        <f t="shared" si="2"/>
        <v/>
      </c>
      <c r="K111" s="476">
        <f>+K112+K115</f>
        <v>0</v>
      </c>
    </row>
    <row r="112" spans="1:11" ht="12.75" customHeight="1" x14ac:dyDescent="0.25">
      <c r="A112" s="828" t="s">
        <v>1328</v>
      </c>
      <c r="B112" s="142"/>
      <c r="C112" s="111">
        <f t="shared" ref="C112:H112" si="34">SUM(C113:C114)</f>
        <v>0</v>
      </c>
      <c r="D112" s="43">
        <f t="shared" si="34"/>
        <v>0</v>
      </c>
      <c r="E112" s="41">
        <f t="shared" si="34"/>
        <v>0</v>
      </c>
      <c r="F112" s="41">
        <f t="shared" si="34"/>
        <v>0</v>
      </c>
      <c r="G112" s="41">
        <f t="shared" si="34"/>
        <v>0</v>
      </c>
      <c r="H112" s="41">
        <f t="shared" si="34"/>
        <v>0</v>
      </c>
      <c r="I112" s="221">
        <f t="shared" si="1"/>
        <v>0</v>
      </c>
      <c r="J112" s="829" t="str">
        <f t="shared" si="2"/>
        <v/>
      </c>
      <c r="K112" s="119">
        <f>SUM(K113:K114)</f>
        <v>0</v>
      </c>
    </row>
    <row r="113" spans="1:11" ht="12.75" customHeight="1" x14ac:dyDescent="0.25">
      <c r="A113" s="694" t="s">
        <v>1329</v>
      </c>
      <c r="B113" s="142"/>
      <c r="C113" s="526">
        <v>0</v>
      </c>
      <c r="D113" s="531">
        <v>0</v>
      </c>
      <c r="E113" s="329">
        <v>0</v>
      </c>
      <c r="F113" s="329">
        <v>0</v>
      </c>
      <c r="G113" s="329">
        <v>0</v>
      </c>
      <c r="H113" s="329">
        <f t="shared" ref="H113:H114" si="35">E113/12*$L$1</f>
        <v>0</v>
      </c>
      <c r="I113" s="41">
        <f t="shared" si="1"/>
        <v>0</v>
      </c>
      <c r="J113" s="826" t="str">
        <f t="shared" si="2"/>
        <v/>
      </c>
      <c r="K113" s="517">
        <f>E113</f>
        <v>0</v>
      </c>
    </row>
    <row r="114" spans="1:11" ht="12.75" customHeight="1" x14ac:dyDescent="0.25">
      <c r="A114" s="694" t="s">
        <v>1330</v>
      </c>
      <c r="B114" s="142"/>
      <c r="C114" s="526">
        <v>0</v>
      </c>
      <c r="D114" s="531">
        <v>0</v>
      </c>
      <c r="E114" s="329">
        <v>0</v>
      </c>
      <c r="F114" s="329">
        <v>0</v>
      </c>
      <c r="G114" s="329">
        <v>0</v>
      </c>
      <c r="H114" s="329">
        <f t="shared" si="35"/>
        <v>0</v>
      </c>
      <c r="I114" s="41">
        <f t="shared" si="1"/>
        <v>0</v>
      </c>
      <c r="J114" s="826" t="str">
        <f t="shared" si="2"/>
        <v/>
      </c>
      <c r="K114" s="517">
        <f>E114</f>
        <v>0</v>
      </c>
    </row>
    <row r="115" spans="1:11" ht="12.75" customHeight="1" x14ac:dyDescent="0.25">
      <c r="A115" s="828" t="s">
        <v>1331</v>
      </c>
      <c r="B115" s="142"/>
      <c r="C115" s="111">
        <f t="shared" ref="C115:H115" si="36">SUM(C116:C117)</f>
        <v>0</v>
      </c>
      <c r="D115" s="43">
        <f t="shared" si="36"/>
        <v>0</v>
      </c>
      <c r="E115" s="41">
        <f t="shared" si="36"/>
        <v>0</v>
      </c>
      <c r="F115" s="41">
        <f t="shared" si="36"/>
        <v>0</v>
      </c>
      <c r="G115" s="41">
        <f t="shared" si="36"/>
        <v>0</v>
      </c>
      <c r="H115" s="41">
        <f t="shared" si="36"/>
        <v>0</v>
      </c>
      <c r="I115" s="221">
        <f t="shared" si="1"/>
        <v>0</v>
      </c>
      <c r="J115" s="829" t="str">
        <f t="shared" si="2"/>
        <v/>
      </c>
      <c r="K115" s="119">
        <f>SUM(K116:K117)</f>
        <v>0</v>
      </c>
    </row>
    <row r="116" spans="1:11" ht="12.75" customHeight="1" x14ac:dyDescent="0.25">
      <c r="A116" s="694" t="s">
        <v>1329</v>
      </c>
      <c r="B116" s="142"/>
      <c r="C116" s="526">
        <v>0</v>
      </c>
      <c r="D116" s="531">
        <v>0</v>
      </c>
      <c r="E116" s="329">
        <v>0</v>
      </c>
      <c r="F116" s="329">
        <v>0</v>
      </c>
      <c r="G116" s="329">
        <v>0</v>
      </c>
      <c r="H116" s="329">
        <f t="shared" ref="H116:H117" si="37">E116/12*$L$1</f>
        <v>0</v>
      </c>
      <c r="I116" s="41">
        <f t="shared" si="1"/>
        <v>0</v>
      </c>
      <c r="J116" s="826" t="str">
        <f t="shared" si="2"/>
        <v/>
      </c>
      <c r="K116" s="517">
        <f>E116</f>
        <v>0</v>
      </c>
    </row>
    <row r="117" spans="1:11" ht="12.75" customHeight="1" x14ac:dyDescent="0.25">
      <c r="A117" s="694" t="s">
        <v>1330</v>
      </c>
      <c r="B117" s="142"/>
      <c r="C117" s="526">
        <v>0</v>
      </c>
      <c r="D117" s="531">
        <v>0</v>
      </c>
      <c r="E117" s="329">
        <v>0</v>
      </c>
      <c r="F117" s="329">
        <v>0</v>
      </c>
      <c r="G117" s="329">
        <v>0</v>
      </c>
      <c r="H117" s="329">
        <f t="shared" si="37"/>
        <v>0</v>
      </c>
      <c r="I117" s="41">
        <f>H117-G117</f>
        <v>0</v>
      </c>
      <c r="J117" s="826" t="str">
        <f>IF(I117=0,"",I117/H117)</f>
        <v/>
      </c>
      <c r="K117" s="517">
        <f>E117</f>
        <v>0</v>
      </c>
    </row>
    <row r="118" spans="1:11" ht="5.0999999999999996" customHeight="1" x14ac:dyDescent="0.25">
      <c r="A118" s="39"/>
      <c r="B118" s="142"/>
      <c r="C118" s="111"/>
      <c r="D118" s="221"/>
      <c r="E118" s="41"/>
      <c r="F118" s="41"/>
      <c r="G118" s="41"/>
      <c r="H118" s="41"/>
      <c r="I118" s="41">
        <f>H118-G118</f>
        <v>0</v>
      </c>
      <c r="J118" s="826" t="str">
        <f>IF(I118=0,"",I118/H118)</f>
        <v/>
      </c>
      <c r="K118" s="119"/>
    </row>
    <row r="119" spans="1:11" ht="12.75" customHeight="1" x14ac:dyDescent="0.25">
      <c r="A119" s="32" t="s">
        <v>683</v>
      </c>
      <c r="B119" s="142"/>
      <c r="C119" s="472">
        <f t="shared" ref="C119:H119" si="38">+C120+C132</f>
        <v>0</v>
      </c>
      <c r="D119" s="830">
        <f t="shared" si="38"/>
        <v>2950000</v>
      </c>
      <c r="E119" s="474">
        <f t="shared" si="38"/>
        <v>2082642</v>
      </c>
      <c r="F119" s="474">
        <f t="shared" si="38"/>
        <v>0</v>
      </c>
      <c r="G119" s="474">
        <f t="shared" si="38"/>
        <v>0</v>
      </c>
      <c r="H119" s="474">
        <f t="shared" si="38"/>
        <v>2082642</v>
      </c>
      <c r="I119" s="474">
        <f t="shared" si="1"/>
        <v>2082642</v>
      </c>
      <c r="J119" s="827">
        <f t="shared" si="2"/>
        <v>1</v>
      </c>
      <c r="K119" s="476">
        <f>+K120+K132</f>
        <v>2082642</v>
      </c>
    </row>
    <row r="120" spans="1:11" ht="12.75" customHeight="1" x14ac:dyDescent="0.25">
      <c r="A120" s="828" t="s">
        <v>1332</v>
      </c>
      <c r="B120" s="142"/>
      <c r="C120" s="111">
        <f t="shared" ref="C120:H120" si="39">SUM(C121:C131)</f>
        <v>0</v>
      </c>
      <c r="D120" s="43">
        <f t="shared" si="39"/>
        <v>2950000</v>
      </c>
      <c r="E120" s="41">
        <f t="shared" si="39"/>
        <v>2082642</v>
      </c>
      <c r="F120" s="41">
        <f t="shared" si="39"/>
        <v>0</v>
      </c>
      <c r="G120" s="41">
        <f t="shared" si="39"/>
        <v>0</v>
      </c>
      <c r="H120" s="41">
        <f t="shared" si="39"/>
        <v>2082642</v>
      </c>
      <c r="I120" s="221">
        <f t="shared" si="1"/>
        <v>2082642</v>
      </c>
      <c r="J120" s="829">
        <f t="shared" si="2"/>
        <v>1</v>
      </c>
      <c r="K120" s="119">
        <f>SUM(K121:K131)</f>
        <v>2082642</v>
      </c>
    </row>
    <row r="121" spans="1:11" ht="12.75" customHeight="1" x14ac:dyDescent="0.25">
      <c r="A121" s="694" t="s">
        <v>1333</v>
      </c>
      <c r="B121" s="142"/>
      <c r="C121" s="526">
        <v>0</v>
      </c>
      <c r="D121" s="531">
        <v>2400000</v>
      </c>
      <c r="E121" s="329">
        <v>1532642</v>
      </c>
      <c r="F121" s="329">
        <v>0</v>
      </c>
      <c r="G121" s="329">
        <v>0</v>
      </c>
      <c r="H121" s="329">
        <f t="shared" ref="H121:H131" si="40">E121/12*$L$1</f>
        <v>1532642</v>
      </c>
      <c r="I121" s="41">
        <f t="shared" si="1"/>
        <v>1532642</v>
      </c>
      <c r="J121" s="826">
        <f t="shared" si="2"/>
        <v>1</v>
      </c>
      <c r="K121" s="517">
        <f t="shared" ref="K121:K131" si="41">E121</f>
        <v>1532642</v>
      </c>
    </row>
    <row r="122" spans="1:11" ht="12.75" customHeight="1" x14ac:dyDescent="0.25">
      <c r="A122" s="694" t="s">
        <v>1334</v>
      </c>
      <c r="B122" s="142"/>
      <c r="C122" s="526">
        <v>0</v>
      </c>
      <c r="D122" s="531">
        <v>0</v>
      </c>
      <c r="E122" s="329">
        <v>0</v>
      </c>
      <c r="F122" s="329">
        <v>0</v>
      </c>
      <c r="G122" s="329">
        <v>0</v>
      </c>
      <c r="H122" s="329">
        <f t="shared" si="40"/>
        <v>0</v>
      </c>
      <c r="I122" s="41">
        <f t="shared" si="1"/>
        <v>0</v>
      </c>
      <c r="J122" s="826" t="str">
        <f t="shared" si="2"/>
        <v/>
      </c>
      <c r="K122" s="517">
        <f t="shared" si="41"/>
        <v>0</v>
      </c>
    </row>
    <row r="123" spans="1:11" ht="12.75" customHeight="1" x14ac:dyDescent="0.25">
      <c r="A123" s="694" t="s">
        <v>1335</v>
      </c>
      <c r="B123" s="142"/>
      <c r="C123" s="526">
        <v>0</v>
      </c>
      <c r="D123" s="531">
        <v>0</v>
      </c>
      <c r="E123" s="329">
        <v>0</v>
      </c>
      <c r="F123" s="329">
        <v>0</v>
      </c>
      <c r="G123" s="329">
        <v>0</v>
      </c>
      <c r="H123" s="329">
        <f t="shared" si="40"/>
        <v>0</v>
      </c>
      <c r="I123" s="41">
        <f t="shared" si="1"/>
        <v>0</v>
      </c>
      <c r="J123" s="826" t="str">
        <f t="shared" si="2"/>
        <v/>
      </c>
      <c r="K123" s="517">
        <f t="shared" si="41"/>
        <v>0</v>
      </c>
    </row>
    <row r="124" spans="1:11" ht="12.75" customHeight="1" x14ac:dyDescent="0.25">
      <c r="A124" s="694" t="s">
        <v>1336</v>
      </c>
      <c r="B124" s="142"/>
      <c r="C124" s="526">
        <v>0</v>
      </c>
      <c r="D124" s="531">
        <v>0</v>
      </c>
      <c r="E124" s="329">
        <v>0</v>
      </c>
      <c r="F124" s="329">
        <v>0</v>
      </c>
      <c r="G124" s="329">
        <v>0</v>
      </c>
      <c r="H124" s="329">
        <f t="shared" si="40"/>
        <v>0</v>
      </c>
      <c r="I124" s="41">
        <f t="shared" si="1"/>
        <v>0</v>
      </c>
      <c r="J124" s="826" t="str">
        <f t="shared" si="2"/>
        <v/>
      </c>
      <c r="K124" s="517">
        <f t="shared" si="41"/>
        <v>0</v>
      </c>
    </row>
    <row r="125" spans="1:11" ht="12.75" customHeight="1" x14ac:dyDescent="0.25">
      <c r="A125" s="694" t="s">
        <v>1337</v>
      </c>
      <c r="B125" s="142"/>
      <c r="C125" s="526">
        <v>0</v>
      </c>
      <c r="D125" s="531">
        <v>0</v>
      </c>
      <c r="E125" s="329">
        <v>0</v>
      </c>
      <c r="F125" s="329">
        <v>0</v>
      </c>
      <c r="G125" s="329">
        <v>0</v>
      </c>
      <c r="H125" s="329">
        <f t="shared" si="40"/>
        <v>0</v>
      </c>
      <c r="I125" s="41">
        <f t="shared" si="1"/>
        <v>0</v>
      </c>
      <c r="J125" s="826" t="str">
        <f t="shared" si="2"/>
        <v/>
      </c>
      <c r="K125" s="517">
        <f t="shared" si="41"/>
        <v>0</v>
      </c>
    </row>
    <row r="126" spans="1:11" ht="12.75" customHeight="1" x14ac:dyDescent="0.25">
      <c r="A126" s="694" t="s">
        <v>1338</v>
      </c>
      <c r="B126" s="142"/>
      <c r="C126" s="526">
        <v>0</v>
      </c>
      <c r="D126" s="531">
        <v>400000</v>
      </c>
      <c r="E126" s="329">
        <v>400000</v>
      </c>
      <c r="F126" s="329">
        <v>0</v>
      </c>
      <c r="G126" s="329">
        <v>0</v>
      </c>
      <c r="H126" s="329">
        <f t="shared" si="40"/>
        <v>400000</v>
      </c>
      <c r="I126" s="41">
        <f t="shared" si="1"/>
        <v>400000</v>
      </c>
      <c r="J126" s="826">
        <f t="shared" si="2"/>
        <v>1</v>
      </c>
      <c r="K126" s="517">
        <f t="shared" si="41"/>
        <v>400000</v>
      </c>
    </row>
    <row r="127" spans="1:11" ht="12.75" customHeight="1" x14ac:dyDescent="0.25">
      <c r="A127" s="694" t="s">
        <v>1339</v>
      </c>
      <c r="B127" s="142"/>
      <c r="C127" s="526">
        <v>0</v>
      </c>
      <c r="D127" s="531">
        <v>0</v>
      </c>
      <c r="E127" s="329">
        <v>0</v>
      </c>
      <c r="F127" s="329">
        <v>0</v>
      </c>
      <c r="G127" s="329">
        <v>0</v>
      </c>
      <c r="H127" s="329">
        <f t="shared" si="40"/>
        <v>0</v>
      </c>
      <c r="I127" s="41">
        <f t="shared" si="1"/>
        <v>0</v>
      </c>
      <c r="J127" s="826" t="str">
        <f t="shared" si="2"/>
        <v/>
      </c>
      <c r="K127" s="517">
        <f t="shared" si="41"/>
        <v>0</v>
      </c>
    </row>
    <row r="128" spans="1:11" ht="12.75" customHeight="1" x14ac:dyDescent="0.25">
      <c r="A128" s="694" t="s">
        <v>1340</v>
      </c>
      <c r="B128" s="142"/>
      <c r="C128" s="526">
        <v>0</v>
      </c>
      <c r="D128" s="531">
        <v>0</v>
      </c>
      <c r="E128" s="329">
        <v>0</v>
      </c>
      <c r="F128" s="329">
        <v>0</v>
      </c>
      <c r="G128" s="329">
        <v>0</v>
      </c>
      <c r="H128" s="329">
        <f t="shared" si="40"/>
        <v>0</v>
      </c>
      <c r="I128" s="41">
        <f t="shared" si="1"/>
        <v>0</v>
      </c>
      <c r="J128" s="826" t="str">
        <f t="shared" si="2"/>
        <v/>
      </c>
      <c r="K128" s="517">
        <f t="shared" si="41"/>
        <v>0</v>
      </c>
    </row>
    <row r="129" spans="1:11" ht="12.75" customHeight="1" x14ac:dyDescent="0.25">
      <c r="A129" s="694" t="s">
        <v>1341</v>
      </c>
      <c r="B129" s="142"/>
      <c r="C129" s="526">
        <v>0</v>
      </c>
      <c r="D129" s="531">
        <v>150000</v>
      </c>
      <c r="E129" s="329">
        <v>150000</v>
      </c>
      <c r="F129" s="329">
        <v>0</v>
      </c>
      <c r="G129" s="329">
        <v>0</v>
      </c>
      <c r="H129" s="329">
        <f t="shared" si="40"/>
        <v>150000</v>
      </c>
      <c r="I129" s="41">
        <f t="shared" si="1"/>
        <v>150000</v>
      </c>
      <c r="J129" s="826">
        <f t="shared" si="2"/>
        <v>1</v>
      </c>
      <c r="K129" s="517">
        <f t="shared" si="41"/>
        <v>150000</v>
      </c>
    </row>
    <row r="130" spans="1:11" ht="12.75" customHeight="1" x14ac:dyDescent="0.25">
      <c r="A130" s="694" t="s">
        <v>1342</v>
      </c>
      <c r="B130" s="142"/>
      <c r="C130" s="526">
        <v>0</v>
      </c>
      <c r="D130" s="531">
        <v>0</v>
      </c>
      <c r="E130" s="329">
        <v>0</v>
      </c>
      <c r="F130" s="329">
        <v>0</v>
      </c>
      <c r="G130" s="329">
        <v>0</v>
      </c>
      <c r="H130" s="329">
        <f t="shared" si="40"/>
        <v>0</v>
      </c>
      <c r="I130" s="41">
        <f t="shared" si="1"/>
        <v>0</v>
      </c>
      <c r="J130" s="826" t="str">
        <f t="shared" si="2"/>
        <v/>
      </c>
      <c r="K130" s="517">
        <f t="shared" si="41"/>
        <v>0</v>
      </c>
    </row>
    <row r="131" spans="1:11" ht="12.75" customHeight="1" x14ac:dyDescent="0.25">
      <c r="A131" s="694" t="s">
        <v>1253</v>
      </c>
      <c r="B131" s="142"/>
      <c r="C131" s="526">
        <v>0</v>
      </c>
      <c r="D131" s="531">
        <v>0</v>
      </c>
      <c r="E131" s="329">
        <v>0</v>
      </c>
      <c r="F131" s="329">
        <v>0</v>
      </c>
      <c r="G131" s="329">
        <v>0</v>
      </c>
      <c r="H131" s="329">
        <f t="shared" si="40"/>
        <v>0</v>
      </c>
      <c r="I131" s="41">
        <f t="shared" si="1"/>
        <v>0</v>
      </c>
      <c r="J131" s="826" t="str">
        <f t="shared" si="2"/>
        <v/>
      </c>
      <c r="K131" s="517">
        <f t="shared" si="41"/>
        <v>0</v>
      </c>
    </row>
    <row r="132" spans="1:11" ht="12.75" customHeight="1" x14ac:dyDescent="0.25">
      <c r="A132" s="828" t="s">
        <v>724</v>
      </c>
      <c r="B132" s="142"/>
      <c r="C132" s="111">
        <f t="shared" ref="C132:H132" si="42">SUM(C133:C135)</f>
        <v>0</v>
      </c>
      <c r="D132" s="43">
        <f t="shared" si="42"/>
        <v>0</v>
      </c>
      <c r="E132" s="41">
        <f t="shared" si="42"/>
        <v>0</v>
      </c>
      <c r="F132" s="41">
        <f t="shared" si="42"/>
        <v>0</v>
      </c>
      <c r="G132" s="41">
        <f t="shared" si="42"/>
        <v>0</v>
      </c>
      <c r="H132" s="41">
        <f t="shared" si="42"/>
        <v>0</v>
      </c>
      <c r="I132" s="221">
        <f t="shared" si="1"/>
        <v>0</v>
      </c>
      <c r="J132" s="829" t="str">
        <f t="shared" si="2"/>
        <v/>
      </c>
      <c r="K132" s="119">
        <f>SUM(K133:K135)</f>
        <v>0</v>
      </c>
    </row>
    <row r="133" spans="1:11" ht="12.75" customHeight="1" x14ac:dyDescent="0.25">
      <c r="A133" s="694" t="s">
        <v>1343</v>
      </c>
      <c r="B133" s="142"/>
      <c r="C133" s="526">
        <v>0</v>
      </c>
      <c r="D133" s="531">
        <v>0</v>
      </c>
      <c r="E133" s="329">
        <v>0</v>
      </c>
      <c r="F133" s="329">
        <v>0</v>
      </c>
      <c r="G133" s="329">
        <v>0</v>
      </c>
      <c r="H133" s="329">
        <f t="shared" ref="H133:H135" si="43">E133/12*$L$1</f>
        <v>0</v>
      </c>
      <c r="I133" s="41">
        <f t="shared" si="1"/>
        <v>0</v>
      </c>
      <c r="J133" s="826" t="str">
        <f t="shared" si="2"/>
        <v/>
      </c>
      <c r="K133" s="517">
        <f>E133</f>
        <v>0</v>
      </c>
    </row>
    <row r="134" spans="1:11" ht="12.75" customHeight="1" x14ac:dyDescent="0.25">
      <c r="A134" s="694" t="s">
        <v>1344</v>
      </c>
      <c r="B134" s="142"/>
      <c r="C134" s="526">
        <v>0</v>
      </c>
      <c r="D134" s="531">
        <v>0</v>
      </c>
      <c r="E134" s="329">
        <v>0</v>
      </c>
      <c r="F134" s="329">
        <v>0</v>
      </c>
      <c r="G134" s="329">
        <v>0</v>
      </c>
      <c r="H134" s="329">
        <f t="shared" si="43"/>
        <v>0</v>
      </c>
      <c r="I134" s="41">
        <f t="shared" si="1"/>
        <v>0</v>
      </c>
      <c r="J134" s="826" t="str">
        <f t="shared" si="2"/>
        <v/>
      </c>
      <c r="K134" s="517">
        <f>E134</f>
        <v>0</v>
      </c>
    </row>
    <row r="135" spans="1:11" ht="12.75" customHeight="1" x14ac:dyDescent="0.25">
      <c r="A135" s="694" t="s">
        <v>1253</v>
      </c>
      <c r="B135" s="142"/>
      <c r="C135" s="526">
        <v>0</v>
      </c>
      <c r="D135" s="531">
        <v>0</v>
      </c>
      <c r="E135" s="329">
        <v>0</v>
      </c>
      <c r="F135" s="329">
        <v>0</v>
      </c>
      <c r="G135" s="329">
        <v>0</v>
      </c>
      <c r="H135" s="329">
        <f t="shared" si="43"/>
        <v>0</v>
      </c>
      <c r="I135" s="41">
        <f t="shared" si="1"/>
        <v>0</v>
      </c>
      <c r="J135" s="826" t="str">
        <f t="shared" si="2"/>
        <v/>
      </c>
      <c r="K135" s="517">
        <f>E135</f>
        <v>0</v>
      </c>
    </row>
    <row r="136" spans="1:11" ht="5.0999999999999996" customHeight="1" x14ac:dyDescent="0.25">
      <c r="A136" s="828"/>
      <c r="B136" s="142"/>
      <c r="C136" s="111"/>
      <c r="D136" s="221"/>
      <c r="E136" s="41"/>
      <c r="F136" s="41"/>
      <c r="G136" s="41"/>
      <c r="H136" s="41"/>
      <c r="I136" s="41"/>
      <c r="J136" s="826" t="str">
        <f t="shared" si="2"/>
        <v/>
      </c>
      <c r="K136" s="119"/>
    </row>
    <row r="137" spans="1:11" ht="12.75" customHeight="1" x14ac:dyDescent="0.25">
      <c r="A137" s="32" t="s">
        <v>1345</v>
      </c>
      <c r="B137" s="142"/>
      <c r="C137" s="472">
        <f t="shared" ref="C137:H137" si="44">SUM(C138:C138)</f>
        <v>0</v>
      </c>
      <c r="D137" s="830">
        <f t="shared" si="44"/>
        <v>0</v>
      </c>
      <c r="E137" s="474">
        <f t="shared" si="44"/>
        <v>0</v>
      </c>
      <c r="F137" s="474">
        <f t="shared" si="44"/>
        <v>0</v>
      </c>
      <c r="G137" s="474">
        <f t="shared" si="44"/>
        <v>0</v>
      </c>
      <c r="H137" s="474">
        <f t="shared" si="44"/>
        <v>0</v>
      </c>
      <c r="I137" s="474">
        <f>H137-G137</f>
        <v>0</v>
      </c>
      <c r="J137" s="832" t="str">
        <f t="shared" si="2"/>
        <v/>
      </c>
      <c r="K137" s="476">
        <f>SUM(K138)</f>
        <v>0</v>
      </c>
    </row>
    <row r="138" spans="1:11" ht="12.75" customHeight="1" x14ac:dyDescent="0.25">
      <c r="A138" s="828" t="s">
        <v>1345</v>
      </c>
      <c r="B138" s="142"/>
      <c r="C138" s="526">
        <v>0</v>
      </c>
      <c r="D138" s="531">
        <v>0</v>
      </c>
      <c r="E138" s="329">
        <v>0</v>
      </c>
      <c r="F138" s="329">
        <v>0</v>
      </c>
      <c r="G138" s="329">
        <v>0</v>
      </c>
      <c r="H138" s="329">
        <f>E138/12*$L$1</f>
        <v>0</v>
      </c>
      <c r="I138" s="41">
        <f>H138-G138</f>
        <v>0</v>
      </c>
      <c r="J138" s="826" t="str">
        <f t="shared" si="2"/>
        <v/>
      </c>
      <c r="K138" s="517">
        <f>E138</f>
        <v>0</v>
      </c>
    </row>
    <row r="139" spans="1:11" ht="5.0999999999999996" customHeight="1" x14ac:dyDescent="0.25">
      <c r="A139" s="39"/>
      <c r="B139" s="142"/>
      <c r="C139" s="111"/>
      <c r="D139" s="221"/>
      <c r="E139" s="41"/>
      <c r="F139" s="41"/>
      <c r="G139" s="41"/>
      <c r="H139" s="41"/>
      <c r="I139" s="41"/>
      <c r="J139" s="826" t="str">
        <f t="shared" ref="J139:J148" si="45">IF(I139=0,"",I139/H139)</f>
        <v/>
      </c>
      <c r="K139" s="119"/>
    </row>
    <row r="140" spans="1:11" ht="12.75" customHeight="1" x14ac:dyDescent="0.25">
      <c r="A140" s="32" t="s">
        <v>1346</v>
      </c>
      <c r="B140" s="142"/>
      <c r="C140" s="472">
        <f>SUM(C141:C142)</f>
        <v>0</v>
      </c>
      <c r="D140" s="830">
        <f>+D141+D142</f>
        <v>0</v>
      </c>
      <c r="E140" s="474">
        <f>+E141+E142</f>
        <v>0</v>
      </c>
      <c r="F140" s="474">
        <f>SUM(F141:F142)</f>
        <v>0</v>
      </c>
      <c r="G140" s="474">
        <f>SUM(G141:G142)</f>
        <v>0</v>
      </c>
      <c r="H140" s="474">
        <f>SUM(H141:H142)</f>
        <v>0</v>
      </c>
      <c r="I140" s="474">
        <f t="shared" ref="I140:I148" si="46">H140-G140</f>
        <v>0</v>
      </c>
      <c r="J140" s="832" t="str">
        <f t="shared" si="45"/>
        <v/>
      </c>
      <c r="K140" s="476">
        <f>SUM(K141:K142)</f>
        <v>0</v>
      </c>
    </row>
    <row r="141" spans="1:11" ht="12.75" customHeight="1" x14ac:dyDescent="0.25">
      <c r="A141" s="828" t="s">
        <v>1347</v>
      </c>
      <c r="B141" s="142"/>
      <c r="C141" s="526">
        <v>0</v>
      </c>
      <c r="D141" s="531">
        <v>0</v>
      </c>
      <c r="E141" s="329">
        <v>0</v>
      </c>
      <c r="F141" s="329">
        <v>0</v>
      </c>
      <c r="G141" s="329">
        <v>0</v>
      </c>
      <c r="H141" s="329">
        <f>E141/12*$L$1</f>
        <v>0</v>
      </c>
      <c r="I141" s="41">
        <f t="shared" si="46"/>
        <v>0</v>
      </c>
      <c r="J141" s="826" t="str">
        <f t="shared" si="45"/>
        <v/>
      </c>
      <c r="K141" s="517">
        <f>E141</f>
        <v>0</v>
      </c>
    </row>
    <row r="142" spans="1:11" ht="12.75" customHeight="1" x14ac:dyDescent="0.25">
      <c r="A142" s="828" t="s">
        <v>1348</v>
      </c>
      <c r="B142" s="142"/>
      <c r="C142" s="111">
        <f t="shared" ref="C142:H142" si="47">SUM(C143:C148)</f>
        <v>0</v>
      </c>
      <c r="D142" s="43">
        <f t="shared" si="47"/>
        <v>0</v>
      </c>
      <c r="E142" s="41">
        <f t="shared" si="47"/>
        <v>0</v>
      </c>
      <c r="F142" s="41">
        <f t="shared" si="47"/>
        <v>0</v>
      </c>
      <c r="G142" s="41">
        <f t="shared" si="47"/>
        <v>0</v>
      </c>
      <c r="H142" s="41">
        <f t="shared" si="47"/>
        <v>0</v>
      </c>
      <c r="I142" s="221">
        <f t="shared" si="46"/>
        <v>0</v>
      </c>
      <c r="J142" s="829" t="str">
        <f t="shared" si="45"/>
        <v/>
      </c>
      <c r="K142" s="119">
        <f>SUM(K143:K148)</f>
        <v>0</v>
      </c>
    </row>
    <row r="143" spans="1:11" ht="12.75" customHeight="1" x14ac:dyDescent="0.25">
      <c r="A143" s="694" t="s">
        <v>1349</v>
      </c>
      <c r="B143" s="142"/>
      <c r="C143" s="526">
        <v>0</v>
      </c>
      <c r="D143" s="531">
        <v>0</v>
      </c>
      <c r="E143" s="329">
        <v>0</v>
      </c>
      <c r="F143" s="329">
        <v>0</v>
      </c>
      <c r="G143" s="329">
        <v>0</v>
      </c>
      <c r="H143" s="329">
        <f t="shared" ref="H143:H148" si="48">E143/12*$L$1</f>
        <v>0</v>
      </c>
      <c r="I143" s="41">
        <f t="shared" si="46"/>
        <v>0</v>
      </c>
      <c r="J143" s="826" t="str">
        <f t="shared" si="45"/>
        <v/>
      </c>
      <c r="K143" s="517">
        <f t="shared" ref="K143:K148" si="49">E143</f>
        <v>0</v>
      </c>
    </row>
    <row r="144" spans="1:11" ht="12.75" customHeight="1" x14ac:dyDescent="0.25">
      <c r="A144" s="694" t="s">
        <v>1350</v>
      </c>
      <c r="B144" s="142"/>
      <c r="C144" s="526">
        <v>0</v>
      </c>
      <c r="D144" s="531">
        <v>0</v>
      </c>
      <c r="E144" s="329">
        <v>0</v>
      </c>
      <c r="F144" s="329">
        <v>0</v>
      </c>
      <c r="G144" s="329">
        <v>0</v>
      </c>
      <c r="H144" s="329">
        <f t="shared" si="48"/>
        <v>0</v>
      </c>
      <c r="I144" s="41">
        <f t="shared" si="46"/>
        <v>0</v>
      </c>
      <c r="J144" s="826" t="str">
        <f t="shared" si="45"/>
        <v/>
      </c>
      <c r="K144" s="517">
        <f t="shared" si="49"/>
        <v>0</v>
      </c>
    </row>
    <row r="145" spans="1:11" ht="12.75" customHeight="1" x14ac:dyDescent="0.25">
      <c r="A145" s="694" t="s">
        <v>1351</v>
      </c>
      <c r="B145" s="142"/>
      <c r="C145" s="526">
        <v>0</v>
      </c>
      <c r="D145" s="531">
        <v>0</v>
      </c>
      <c r="E145" s="329">
        <v>0</v>
      </c>
      <c r="F145" s="329">
        <v>0</v>
      </c>
      <c r="G145" s="329">
        <v>0</v>
      </c>
      <c r="H145" s="329">
        <f t="shared" si="48"/>
        <v>0</v>
      </c>
      <c r="I145" s="41">
        <f t="shared" si="46"/>
        <v>0</v>
      </c>
      <c r="J145" s="826" t="str">
        <f t="shared" si="45"/>
        <v/>
      </c>
      <c r="K145" s="517">
        <f t="shared" si="49"/>
        <v>0</v>
      </c>
    </row>
    <row r="146" spans="1:11" ht="12.75" customHeight="1" x14ac:dyDescent="0.25">
      <c r="A146" s="694" t="s">
        <v>1352</v>
      </c>
      <c r="B146" s="142"/>
      <c r="C146" s="526">
        <v>0</v>
      </c>
      <c r="D146" s="531">
        <v>0</v>
      </c>
      <c r="E146" s="329">
        <v>0</v>
      </c>
      <c r="F146" s="329">
        <v>0</v>
      </c>
      <c r="G146" s="329">
        <v>0</v>
      </c>
      <c r="H146" s="329">
        <f t="shared" si="48"/>
        <v>0</v>
      </c>
      <c r="I146" s="41">
        <f t="shared" si="46"/>
        <v>0</v>
      </c>
      <c r="J146" s="826" t="str">
        <f t="shared" si="45"/>
        <v/>
      </c>
      <c r="K146" s="517">
        <f t="shared" si="49"/>
        <v>0</v>
      </c>
    </row>
    <row r="147" spans="1:11" ht="12.75" customHeight="1" x14ac:dyDescent="0.25">
      <c r="A147" s="694" t="s">
        <v>1353</v>
      </c>
      <c r="B147" s="142"/>
      <c r="C147" s="526">
        <v>0</v>
      </c>
      <c r="D147" s="531">
        <v>0</v>
      </c>
      <c r="E147" s="329">
        <v>0</v>
      </c>
      <c r="F147" s="329">
        <v>0</v>
      </c>
      <c r="G147" s="329">
        <v>0</v>
      </c>
      <c r="H147" s="329">
        <f t="shared" si="48"/>
        <v>0</v>
      </c>
      <c r="I147" s="41">
        <f t="shared" si="46"/>
        <v>0</v>
      </c>
      <c r="J147" s="826" t="str">
        <f t="shared" si="45"/>
        <v/>
      </c>
      <c r="K147" s="517">
        <f t="shared" si="49"/>
        <v>0</v>
      </c>
    </row>
    <row r="148" spans="1:11" ht="12.75" customHeight="1" x14ac:dyDescent="0.25">
      <c r="A148" s="694" t="s">
        <v>1354</v>
      </c>
      <c r="B148" s="142"/>
      <c r="C148" s="526">
        <v>0</v>
      </c>
      <c r="D148" s="531">
        <v>0</v>
      </c>
      <c r="E148" s="329">
        <v>0</v>
      </c>
      <c r="F148" s="329">
        <v>0</v>
      </c>
      <c r="G148" s="329">
        <v>0</v>
      </c>
      <c r="H148" s="329">
        <f t="shared" si="48"/>
        <v>0</v>
      </c>
      <c r="I148" s="41">
        <f t="shared" si="46"/>
        <v>0</v>
      </c>
      <c r="J148" s="826" t="str">
        <f t="shared" si="45"/>
        <v/>
      </c>
      <c r="K148" s="517">
        <f t="shared" si="49"/>
        <v>0</v>
      </c>
    </row>
    <row r="149" spans="1:11" ht="5.25" customHeight="1" x14ac:dyDescent="0.25">
      <c r="A149" s="39"/>
      <c r="B149" s="142"/>
      <c r="C149" s="833"/>
      <c r="D149" s="834"/>
      <c r="E149" s="419"/>
      <c r="F149" s="419"/>
      <c r="G149" s="419"/>
      <c r="H149" s="419"/>
      <c r="I149" s="41"/>
      <c r="J149" s="826"/>
      <c r="K149" s="420"/>
    </row>
    <row r="150" spans="1:11" ht="12.75" customHeight="1" x14ac:dyDescent="0.25">
      <c r="A150" s="32" t="s">
        <v>1355</v>
      </c>
      <c r="B150" s="142"/>
      <c r="C150" s="472">
        <f t="shared" ref="C150:H150" si="50">SUM(C151:C151)</f>
        <v>0</v>
      </c>
      <c r="D150" s="830">
        <f t="shared" si="50"/>
        <v>0</v>
      </c>
      <c r="E150" s="474">
        <f t="shared" si="50"/>
        <v>0</v>
      </c>
      <c r="F150" s="474">
        <f t="shared" si="50"/>
        <v>0</v>
      </c>
      <c r="G150" s="474">
        <f t="shared" si="50"/>
        <v>0</v>
      </c>
      <c r="H150" s="474">
        <f t="shared" si="50"/>
        <v>0</v>
      </c>
      <c r="I150" s="474">
        <f>H150-G150</f>
        <v>0</v>
      </c>
      <c r="J150" s="832" t="str">
        <f>IF(I150=0,"",I150/H150)</f>
        <v/>
      </c>
      <c r="K150" s="476">
        <f>SUM(K151)</f>
        <v>0</v>
      </c>
    </row>
    <row r="151" spans="1:11" ht="12.75" customHeight="1" x14ac:dyDescent="0.25">
      <c r="A151" s="828" t="s">
        <v>1355</v>
      </c>
      <c r="B151" s="142"/>
      <c r="C151" s="526">
        <v>0</v>
      </c>
      <c r="D151" s="531">
        <v>0</v>
      </c>
      <c r="E151" s="329">
        <v>0</v>
      </c>
      <c r="F151" s="329">
        <v>0</v>
      </c>
      <c r="G151" s="329">
        <v>0</v>
      </c>
      <c r="H151" s="329">
        <f>E151/12*$L$1</f>
        <v>0</v>
      </c>
      <c r="I151" s="41">
        <f>H151-G151</f>
        <v>0</v>
      </c>
      <c r="J151" s="826" t="str">
        <f>IF(I151=0,"",I151/H151)</f>
        <v/>
      </c>
      <c r="K151" s="517">
        <f>E151</f>
        <v>0</v>
      </c>
    </row>
    <row r="152" spans="1:11" ht="5.0999999999999996" customHeight="1" x14ac:dyDescent="0.25">
      <c r="A152" s="39"/>
      <c r="B152" s="142"/>
      <c r="C152" s="111"/>
      <c r="D152" s="221"/>
      <c r="E152" s="41"/>
      <c r="F152" s="41"/>
      <c r="G152" s="41"/>
      <c r="H152" s="41"/>
      <c r="I152" s="41"/>
      <c r="J152" s="826"/>
      <c r="K152" s="119"/>
    </row>
    <row r="153" spans="1:11" ht="12.75" customHeight="1" x14ac:dyDescent="0.25">
      <c r="A153" s="32" t="s">
        <v>1356</v>
      </c>
      <c r="B153" s="142"/>
      <c r="C153" s="472">
        <f t="shared" ref="C153:H153" si="51">SUM(C154:C154)</f>
        <v>0</v>
      </c>
      <c r="D153" s="830">
        <f t="shared" si="51"/>
        <v>0</v>
      </c>
      <c r="E153" s="474">
        <f t="shared" si="51"/>
        <v>0</v>
      </c>
      <c r="F153" s="474">
        <f t="shared" si="51"/>
        <v>0</v>
      </c>
      <c r="G153" s="474">
        <f t="shared" si="51"/>
        <v>0</v>
      </c>
      <c r="H153" s="474">
        <f t="shared" si="51"/>
        <v>0</v>
      </c>
      <c r="I153" s="474">
        <f>H153-G153</f>
        <v>0</v>
      </c>
      <c r="J153" s="832" t="str">
        <f>IF(I153=0,"",I153/H153)</f>
        <v/>
      </c>
      <c r="K153" s="476">
        <f>SUM(K154)</f>
        <v>0</v>
      </c>
    </row>
    <row r="154" spans="1:11" ht="12.75" customHeight="1" x14ac:dyDescent="0.25">
      <c r="A154" s="828" t="s">
        <v>1356</v>
      </c>
      <c r="B154" s="142"/>
      <c r="C154" s="526">
        <v>0</v>
      </c>
      <c r="D154" s="531">
        <v>0</v>
      </c>
      <c r="E154" s="329">
        <v>0</v>
      </c>
      <c r="F154" s="329">
        <v>0</v>
      </c>
      <c r="G154" s="329">
        <v>0</v>
      </c>
      <c r="H154" s="329">
        <f>E154/12*$L$1</f>
        <v>0</v>
      </c>
      <c r="I154" s="41">
        <f>H154-G154</f>
        <v>0</v>
      </c>
      <c r="J154" s="826" t="str">
        <f>IF(I154=0,"",I154/H154)</f>
        <v/>
      </c>
      <c r="K154" s="517">
        <f>E154</f>
        <v>0</v>
      </c>
    </row>
    <row r="155" spans="1:11" ht="5.0999999999999996" customHeight="1" x14ac:dyDescent="0.25">
      <c r="A155" s="39"/>
      <c r="B155" s="142"/>
      <c r="C155" s="111"/>
      <c r="D155" s="221"/>
      <c r="E155" s="41"/>
      <c r="F155" s="41"/>
      <c r="G155" s="41"/>
      <c r="H155" s="41"/>
      <c r="I155" s="41"/>
      <c r="J155" s="826" t="str">
        <f>IF(I155=0,"",I155/H155)</f>
        <v/>
      </c>
      <c r="K155" s="119"/>
    </row>
    <row r="156" spans="1:11" ht="12.75" customHeight="1" x14ac:dyDescent="0.25">
      <c r="A156" s="32" t="s">
        <v>1357</v>
      </c>
      <c r="B156" s="142"/>
      <c r="C156" s="472">
        <f t="shared" ref="C156:H156" si="52">SUM(C157:C157)</f>
        <v>0</v>
      </c>
      <c r="D156" s="830">
        <f t="shared" si="52"/>
        <v>0</v>
      </c>
      <c r="E156" s="474">
        <f t="shared" si="52"/>
        <v>0</v>
      </c>
      <c r="F156" s="474">
        <f t="shared" si="52"/>
        <v>0</v>
      </c>
      <c r="G156" s="474">
        <f t="shared" si="52"/>
        <v>0</v>
      </c>
      <c r="H156" s="474">
        <f t="shared" si="52"/>
        <v>0</v>
      </c>
      <c r="I156" s="474">
        <f>H156-G156</f>
        <v>0</v>
      </c>
      <c r="J156" s="832" t="str">
        <f>IF(I156=0,"",I156/H156)</f>
        <v/>
      </c>
      <c r="K156" s="476">
        <f>SUM(K157)</f>
        <v>0</v>
      </c>
    </row>
    <row r="157" spans="1:11" ht="12.75" customHeight="1" x14ac:dyDescent="0.25">
      <c r="A157" s="828" t="s">
        <v>1357</v>
      </c>
      <c r="B157" s="142"/>
      <c r="C157" s="526">
        <v>0</v>
      </c>
      <c r="D157" s="531">
        <v>0</v>
      </c>
      <c r="E157" s="329">
        <v>0</v>
      </c>
      <c r="F157" s="329">
        <v>0</v>
      </c>
      <c r="G157" s="329">
        <v>0</v>
      </c>
      <c r="H157" s="329">
        <f>E157/12*$L$1</f>
        <v>0</v>
      </c>
      <c r="I157" s="41">
        <f>H157-G157</f>
        <v>0</v>
      </c>
      <c r="J157" s="826" t="str">
        <f>IF(I157=0,"",I157/H157)</f>
        <v/>
      </c>
      <c r="K157" s="517">
        <f>E157</f>
        <v>0</v>
      </c>
    </row>
    <row r="158" spans="1:11" ht="5.0999999999999996" customHeight="1" x14ac:dyDescent="0.25">
      <c r="A158" s="39"/>
      <c r="B158" s="142"/>
      <c r="C158" s="111"/>
      <c r="D158" s="221"/>
      <c r="E158" s="41"/>
      <c r="F158" s="41"/>
      <c r="G158" s="41"/>
      <c r="H158" s="41"/>
      <c r="I158" s="41"/>
      <c r="J158" s="826"/>
      <c r="K158" s="119"/>
    </row>
    <row r="159" spans="1:11" ht="12.75" customHeight="1" x14ac:dyDescent="0.25">
      <c r="A159" s="32" t="s">
        <v>1358</v>
      </c>
      <c r="B159" s="142"/>
      <c r="C159" s="472">
        <f t="shared" ref="C159:H159" si="53">SUM(C160:C160)</f>
        <v>0</v>
      </c>
      <c r="D159" s="830">
        <f t="shared" si="53"/>
        <v>0</v>
      </c>
      <c r="E159" s="474">
        <f t="shared" si="53"/>
        <v>0</v>
      </c>
      <c r="F159" s="474">
        <f t="shared" si="53"/>
        <v>0</v>
      </c>
      <c r="G159" s="474">
        <f t="shared" si="53"/>
        <v>0</v>
      </c>
      <c r="H159" s="474">
        <f t="shared" si="53"/>
        <v>0</v>
      </c>
      <c r="I159" s="474">
        <f>H159-G159</f>
        <v>0</v>
      </c>
      <c r="J159" s="832" t="str">
        <f>IF(I159=0,"",I159/H159)</f>
        <v/>
      </c>
      <c r="K159" s="476">
        <f>SUM(K160)</f>
        <v>0</v>
      </c>
    </row>
    <row r="160" spans="1:11" ht="12.75" customHeight="1" x14ac:dyDescent="0.25">
      <c r="A160" s="828" t="s">
        <v>1358</v>
      </c>
      <c r="B160" s="142"/>
      <c r="C160" s="526">
        <v>0</v>
      </c>
      <c r="D160" s="531">
        <v>0</v>
      </c>
      <c r="E160" s="329">
        <v>0</v>
      </c>
      <c r="F160" s="329">
        <v>0</v>
      </c>
      <c r="G160" s="329">
        <v>0</v>
      </c>
      <c r="H160" s="329">
        <f>E160/12*$L$1</f>
        <v>0</v>
      </c>
      <c r="I160" s="41">
        <f>H160-G160</f>
        <v>0</v>
      </c>
      <c r="J160" s="826" t="str">
        <f>IF(I160=0,"",I160/H160)</f>
        <v/>
      </c>
      <c r="K160" s="517">
        <f>E160</f>
        <v>0</v>
      </c>
    </row>
    <row r="161" spans="1:11" ht="5.0999999999999996" customHeight="1" x14ac:dyDescent="0.25">
      <c r="A161" s="39"/>
      <c r="B161" s="142"/>
      <c r="C161" s="111"/>
      <c r="D161" s="221"/>
      <c r="E161" s="41"/>
      <c r="F161" s="41"/>
      <c r="G161" s="41"/>
      <c r="H161" s="41"/>
      <c r="I161" s="41"/>
      <c r="J161" s="826"/>
      <c r="K161" s="119"/>
    </row>
    <row r="162" spans="1:11" ht="12.75" customHeight="1" x14ac:dyDescent="0.25">
      <c r="A162" s="32" t="s">
        <v>1367</v>
      </c>
      <c r="B162" s="142"/>
      <c r="C162" s="472">
        <f t="shared" ref="C162:H162" si="54">SUM(C163:C163)</f>
        <v>0</v>
      </c>
      <c r="D162" s="830">
        <f t="shared" si="54"/>
        <v>0</v>
      </c>
      <c r="E162" s="474">
        <f t="shared" si="54"/>
        <v>0</v>
      </c>
      <c r="F162" s="474">
        <f t="shared" si="54"/>
        <v>0</v>
      </c>
      <c r="G162" s="474">
        <f t="shared" si="54"/>
        <v>0</v>
      </c>
      <c r="H162" s="474">
        <f t="shared" si="54"/>
        <v>0</v>
      </c>
      <c r="I162" s="474">
        <f>H162-G162</f>
        <v>0</v>
      </c>
      <c r="J162" s="832" t="str">
        <f>IF(I162=0,"",I162/H162)</f>
        <v/>
      </c>
      <c r="K162" s="476">
        <f>SUM(K163)</f>
        <v>0</v>
      </c>
    </row>
    <row r="163" spans="1:11" ht="12.75" customHeight="1" x14ac:dyDescent="0.25">
      <c r="A163" s="828" t="s">
        <v>1367</v>
      </c>
      <c r="B163" s="142"/>
      <c r="C163" s="526">
        <v>0</v>
      </c>
      <c r="D163" s="531">
        <v>0</v>
      </c>
      <c r="E163" s="329">
        <v>0</v>
      </c>
      <c r="F163" s="329">
        <v>0</v>
      </c>
      <c r="G163" s="329">
        <v>0</v>
      </c>
      <c r="H163" s="329">
        <f>E163/12*$L$1</f>
        <v>0</v>
      </c>
      <c r="I163" s="41">
        <f>H163-G163</f>
        <v>0</v>
      </c>
      <c r="J163" s="826" t="str">
        <f>IF(I163=0,"",I163/H163)</f>
        <v/>
      </c>
      <c r="K163" s="517">
        <f>E163</f>
        <v>0</v>
      </c>
    </row>
    <row r="164" spans="1:11" ht="5.0999999999999996" customHeight="1" x14ac:dyDescent="0.25">
      <c r="A164" s="39"/>
      <c r="B164" s="142"/>
      <c r="C164" s="111"/>
      <c r="D164" s="221"/>
      <c r="E164" s="41"/>
      <c r="F164" s="41"/>
      <c r="G164" s="41"/>
      <c r="H164" s="41"/>
      <c r="I164" s="41"/>
      <c r="J164" s="826" t="s">
        <v>1360</v>
      </c>
      <c r="K164" s="119"/>
    </row>
    <row r="165" spans="1:11" ht="12.75" customHeight="1" x14ac:dyDescent="0.25">
      <c r="A165" s="32" t="s">
        <v>1359</v>
      </c>
      <c r="B165" s="142"/>
      <c r="C165" s="472">
        <f t="shared" ref="C165:H165" si="55">SUM(C166:C166)</f>
        <v>0</v>
      </c>
      <c r="D165" s="830">
        <f t="shared" si="55"/>
        <v>0</v>
      </c>
      <c r="E165" s="474">
        <f t="shared" si="55"/>
        <v>0</v>
      </c>
      <c r="F165" s="474">
        <f t="shared" si="55"/>
        <v>0</v>
      </c>
      <c r="G165" s="474">
        <f t="shared" si="55"/>
        <v>0</v>
      </c>
      <c r="H165" s="474">
        <f t="shared" si="55"/>
        <v>0</v>
      </c>
      <c r="I165" s="474">
        <f>H165-G165</f>
        <v>0</v>
      </c>
      <c r="J165" s="832" t="str">
        <f>IF(I165=0,"",I165/H165)</f>
        <v/>
      </c>
      <c r="K165" s="476">
        <f>SUM(K166)</f>
        <v>0</v>
      </c>
    </row>
    <row r="166" spans="1:11" ht="12.75" customHeight="1" x14ac:dyDescent="0.25">
      <c r="A166" s="828" t="s">
        <v>1359</v>
      </c>
      <c r="B166" s="142"/>
      <c r="C166" s="526">
        <v>0</v>
      </c>
      <c r="D166" s="531">
        <v>0</v>
      </c>
      <c r="E166" s="329">
        <v>0</v>
      </c>
      <c r="F166" s="329">
        <v>0</v>
      </c>
      <c r="G166" s="329">
        <v>0</v>
      </c>
      <c r="H166" s="329">
        <f>E166/12*$L$1</f>
        <v>0</v>
      </c>
      <c r="I166" s="41">
        <f>H166-G166</f>
        <v>0</v>
      </c>
      <c r="J166" s="826" t="str">
        <f>IF(I166=0,"",I166/H166)</f>
        <v/>
      </c>
      <c r="K166" s="517">
        <f>E166</f>
        <v>0</v>
      </c>
    </row>
    <row r="167" spans="1:11" ht="5.0999999999999996" customHeight="1" x14ac:dyDescent="0.25">
      <c r="A167" s="828"/>
      <c r="B167" s="142"/>
      <c r="C167" s="111"/>
      <c r="D167" s="221"/>
      <c r="E167" s="41"/>
      <c r="F167" s="41"/>
      <c r="G167" s="41"/>
      <c r="H167" s="41"/>
      <c r="I167" s="41"/>
      <c r="J167" s="826" t="str">
        <f>IF(I167=0,"",I167/H167)</f>
        <v/>
      </c>
      <c r="K167" s="119"/>
    </row>
    <row r="168" spans="1:11" ht="12.75" customHeight="1" x14ac:dyDescent="0.25">
      <c r="A168" s="49" t="s">
        <v>1362</v>
      </c>
      <c r="B168" s="199">
        <v>1</v>
      </c>
      <c r="C168" s="94">
        <f t="shared" ref="C168:H168" si="56">C7+C75+C104+C111+C119+C137+C140+C150+C153+C156+C159+C162+C165</f>
        <v>0</v>
      </c>
      <c r="D168" s="230">
        <f t="shared" si="56"/>
        <v>12360000</v>
      </c>
      <c r="E168" s="51">
        <f t="shared" si="56"/>
        <v>12331091</v>
      </c>
      <c r="F168" s="51">
        <f t="shared" si="56"/>
        <v>2409536.6799999936</v>
      </c>
      <c r="G168" s="51">
        <f t="shared" si="56"/>
        <v>6729662.6400000621</v>
      </c>
      <c r="H168" s="51">
        <f t="shared" si="56"/>
        <v>12331091</v>
      </c>
      <c r="I168" s="51">
        <f>H168-G168</f>
        <v>5601428.3599999379</v>
      </c>
      <c r="J168" s="835">
        <f>IF(I168=0,"",I168/H168)</f>
        <v>0.45425245503418454</v>
      </c>
      <c r="K168" s="198">
        <f>K7+K75+K104+K111+K119+K137+K140+K150+K153+K156+K159+K162+K165</f>
        <v>12331091</v>
      </c>
    </row>
    <row r="169" spans="1:11" ht="12.75" customHeight="1" x14ac:dyDescent="0.25">
      <c r="A169" s="77"/>
      <c r="C169" s="45"/>
      <c r="D169" s="45"/>
      <c r="E169" s="45"/>
      <c r="F169" s="45"/>
      <c r="G169" s="45"/>
      <c r="H169" s="45"/>
      <c r="I169" s="45"/>
      <c r="J169" s="836"/>
      <c r="K169" s="837"/>
    </row>
    <row r="170" spans="1:11" ht="11.25" customHeight="1" x14ac:dyDescent="0.25">
      <c r="A170" s="39"/>
      <c r="C170" s="55"/>
      <c r="D170" s="55"/>
      <c r="E170" s="55"/>
      <c r="F170" s="55"/>
      <c r="G170" s="55"/>
      <c r="H170" s="55"/>
      <c r="I170" s="55"/>
      <c r="J170" s="55"/>
      <c r="K170" s="381"/>
    </row>
    <row r="171" spans="1:11" ht="11.25" customHeight="1" x14ac:dyDescent="0.25">
      <c r="A171" s="678" t="s">
        <v>733</v>
      </c>
      <c r="B171" s="679"/>
      <c r="C171" s="838">
        <f>C168+SC13a!C168+SC13b!C168-'C5-Capex'!C40</f>
        <v>0</v>
      </c>
      <c r="D171" s="838">
        <f>D168+SC13a!D168+SC13b!D168-'C5-Capex'!D40</f>
        <v>0</v>
      </c>
      <c r="E171" s="838">
        <f>E168+SC13a!E168+SC13b!E168-'C5-Capex'!E40</f>
        <v>0</v>
      </c>
      <c r="F171" s="838">
        <f>F168+SC13a!F168+SC13b!F168-'C5-Capex'!F40</f>
        <v>0</v>
      </c>
      <c r="G171" s="838">
        <f>G168+SC13a!G168+SC13b!G168-'C5-Capex'!G40</f>
        <v>0</v>
      </c>
      <c r="H171" s="838">
        <f>H168+SC13a!H168+SC13b!H168-'C5-Capex'!H40</f>
        <v>0</v>
      </c>
      <c r="I171" s="838"/>
      <c r="J171" s="838"/>
      <c r="K171" s="839">
        <f>K168+SC13a!K168+SC13b!K168-'C5-Capex'!K40</f>
        <v>0</v>
      </c>
    </row>
  </sheetData>
  <mergeCells count="3">
    <mergeCell ref="A1:K1"/>
    <mergeCell ref="A2:A3"/>
    <mergeCell ref="B2:B3"/>
  </mergeCells>
  <printOptions horizontalCentered="1"/>
  <pageMargins left="0.19685039370078741" right="0.19685039370078741" top="0.39370078740157483" bottom="0.39370078740157483" header="0.51181102362204722" footer="0.51181102362204722"/>
  <pageSetup paperSize="9" scale="91" fitToHeight="3" orientation="portrait" r:id="rId1"/>
  <headerFooter alignWithMargins="0"/>
  <ignoredErrors>
    <ignoredError sqref="K9:K12 H9:H12" unlockedFormula="1"/>
    <ignoredError sqref="K13:K168 H13:H166" formula="1" unlockedFormula="1"/>
    <ignoredError sqref="H167:H168" 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0">
    <tabColor indexed="52"/>
  </sheetPr>
  <dimension ref="A1:K106"/>
  <sheetViews>
    <sheetView workbookViewId="0">
      <selection activeCell="I1" sqref="I1"/>
    </sheetView>
  </sheetViews>
  <sheetFormatPr defaultColWidth="9.140625" defaultRowHeight="12.75" x14ac:dyDescent="0.25"/>
  <cols>
    <col min="1" max="1" width="10.7109375" style="22" customWidth="1"/>
    <col min="2" max="8" width="9.140625" style="22"/>
    <col min="9" max="9" width="16" style="22" customWidth="1"/>
    <col min="10" max="10" width="2.5703125" style="22" customWidth="1"/>
    <col min="11" max="20" width="9.140625" style="22"/>
    <col min="21" max="21" width="3" style="22" customWidth="1"/>
    <col min="22" max="16384" width="9.140625" style="22"/>
  </cols>
  <sheetData>
    <row r="1" spans="1:11" ht="13.5" x14ac:dyDescent="0.25">
      <c r="A1" s="312" t="str">
        <f>'Template names'!B102</f>
        <v>Chart C1 2018/19 Capital Expenditure Monthly Trend: actual v target</v>
      </c>
      <c r="B1" s="285"/>
      <c r="C1" s="285"/>
      <c r="D1" s="285"/>
      <c r="E1" s="288"/>
    </row>
    <row r="2" spans="1:11" x14ac:dyDescent="0.25">
      <c r="A2" s="268" t="s">
        <v>897</v>
      </c>
      <c r="B2" s="305" t="str">
        <f>'SC12'!B2</f>
        <v>2017/18</v>
      </c>
      <c r="C2" s="305" t="str">
        <f>'SC12'!C3</f>
        <v>Original Budget</v>
      </c>
      <c r="D2" s="305" t="str">
        <f>'SC12'!D3</f>
        <v>Adjusted Budget</v>
      </c>
      <c r="E2" s="306" t="str">
        <f>'SC12'!E3</f>
        <v>Monthly actual</v>
      </c>
      <c r="F2" s="57"/>
      <c r="G2" s="57"/>
      <c r="H2" s="57"/>
      <c r="I2" s="57"/>
    </row>
    <row r="3" spans="1:11" x14ac:dyDescent="0.25">
      <c r="A3" s="39" t="str">
        <f>LEFT('SC12'!A6,3)</f>
        <v>Jul</v>
      </c>
      <c r="B3" s="40">
        <f>'SC12'!B6</f>
        <v>1419194.16</v>
      </c>
      <c r="C3" s="40">
        <f>'SC12'!C6</f>
        <v>12305496</v>
      </c>
      <c r="D3" s="40">
        <f>'SC12'!D6</f>
        <v>12069496</v>
      </c>
      <c r="E3" s="42">
        <f>'SC12'!E6</f>
        <v>2062645.29</v>
      </c>
      <c r="F3" s="40"/>
      <c r="G3" s="40"/>
      <c r="H3" s="40"/>
      <c r="I3" s="40"/>
      <c r="J3" s="40"/>
      <c r="K3" s="40"/>
    </row>
    <row r="4" spans="1:11" x14ac:dyDescent="0.25">
      <c r="A4" s="39" t="str">
        <f>LEFT('SC12'!A7,3)</f>
        <v>Aug</v>
      </c>
      <c r="B4" s="40">
        <f>'SC12'!B7</f>
        <v>3446428.0300000007</v>
      </c>
      <c r="C4" s="40">
        <f>'SC12'!C7</f>
        <v>6409200</v>
      </c>
      <c r="D4" s="40">
        <f>'SC12'!D7</f>
        <v>28862714</v>
      </c>
      <c r="E4" s="42">
        <f>'SC12'!E7</f>
        <v>7723692.1100000003</v>
      </c>
      <c r="F4" s="40"/>
      <c r="G4" s="40"/>
      <c r="H4" s="40"/>
      <c r="I4" s="40"/>
      <c r="J4" s="40"/>
      <c r="K4" s="40"/>
    </row>
    <row r="5" spans="1:11" x14ac:dyDescent="0.25">
      <c r="A5" s="39" t="str">
        <f>LEFT('SC12'!A8,3)</f>
        <v>Sep</v>
      </c>
      <c r="B5" s="40">
        <f>'SC12'!B8</f>
        <v>8678196.3399999999</v>
      </c>
      <c r="C5" s="40">
        <f>'SC12'!C8</f>
        <v>17428000</v>
      </c>
      <c r="D5" s="40">
        <f>'SC12'!D8</f>
        <v>14425484</v>
      </c>
      <c r="E5" s="42">
        <f>'SC12'!E8</f>
        <v>26579793.239999998</v>
      </c>
      <c r="F5" s="40"/>
      <c r="G5" s="40"/>
      <c r="H5" s="40"/>
      <c r="I5" s="40"/>
      <c r="J5" s="40"/>
      <c r="K5" s="40"/>
    </row>
    <row r="6" spans="1:11" x14ac:dyDescent="0.25">
      <c r="A6" s="39" t="str">
        <f>LEFT('SC12'!A9,3)</f>
        <v>Oct</v>
      </c>
      <c r="B6" s="40">
        <f>'SC12'!B9</f>
        <v>12521348.469999999</v>
      </c>
      <c r="C6" s="40">
        <f>'SC12'!C9</f>
        <v>11660000</v>
      </c>
      <c r="D6" s="40">
        <f>'SC12'!D9</f>
        <v>15251090</v>
      </c>
      <c r="E6" s="42">
        <f>'SC12'!E9</f>
        <v>21347841.449999999</v>
      </c>
      <c r="F6" s="40"/>
      <c r="G6" s="40"/>
      <c r="H6" s="40"/>
      <c r="I6" s="40"/>
      <c r="J6" s="40"/>
      <c r="K6" s="40"/>
    </row>
    <row r="7" spans="1:11" x14ac:dyDescent="0.25">
      <c r="A7" s="39" t="str">
        <f>LEFT('SC12'!A10,3)</f>
        <v>Nov</v>
      </c>
      <c r="B7" s="40">
        <f>'SC12'!B10</f>
        <v>10392168.059999999</v>
      </c>
      <c r="C7" s="40">
        <f>'SC12'!C10</f>
        <v>13046000</v>
      </c>
      <c r="D7" s="40">
        <f>'SC12'!D10</f>
        <v>50732559</v>
      </c>
      <c r="E7" s="42">
        <f>'SC12'!E10</f>
        <v>23254945.260000002</v>
      </c>
      <c r="F7" s="40"/>
      <c r="G7" s="40"/>
      <c r="H7" s="40"/>
      <c r="I7" s="40"/>
      <c r="J7" s="40"/>
      <c r="K7" s="40"/>
    </row>
    <row r="8" spans="1:11" x14ac:dyDescent="0.25">
      <c r="A8" s="39" t="str">
        <f>LEFT('SC12'!A11,3)</f>
        <v>Dec</v>
      </c>
      <c r="B8" s="40">
        <f>'SC12'!B11</f>
        <v>2392678.7400000012</v>
      </c>
      <c r="C8" s="40">
        <f>'SC12'!C11</f>
        <v>32714591</v>
      </c>
      <c r="D8" s="40">
        <f>'SC12'!D11</f>
        <v>18971645</v>
      </c>
      <c r="E8" s="42">
        <f>'SC12'!E11</f>
        <v>5478738.7399999993</v>
      </c>
      <c r="F8" s="40"/>
      <c r="G8" s="40"/>
      <c r="H8" s="40"/>
      <c r="I8" s="40"/>
      <c r="J8" s="40"/>
      <c r="K8" s="40"/>
    </row>
    <row r="9" spans="1:11" x14ac:dyDescent="0.25">
      <c r="A9" s="39" t="str">
        <f>LEFT('SC12'!A12,3)</f>
        <v>Jan</v>
      </c>
      <c r="B9" s="40">
        <f>'SC12'!B12</f>
        <v>3280830.5399999996</v>
      </c>
      <c r="C9" s="40">
        <f>'SC12'!C12</f>
        <v>9950000</v>
      </c>
      <c r="D9" s="40">
        <f>'SC12'!D12</f>
        <v>9500000</v>
      </c>
      <c r="E9" s="42">
        <f>'SC12'!E12</f>
        <v>11559470.91</v>
      </c>
      <c r="F9" s="40"/>
      <c r="G9" s="40"/>
      <c r="H9" s="40"/>
      <c r="I9" s="40"/>
      <c r="J9" s="40"/>
      <c r="K9" s="40"/>
    </row>
    <row r="10" spans="1:11" x14ac:dyDescent="0.25">
      <c r="A10" s="39" t="str">
        <f>LEFT('SC12'!A13,3)</f>
        <v>Feb</v>
      </c>
      <c r="B10" s="40">
        <f>'SC12'!B13</f>
        <v>3612800.8</v>
      </c>
      <c r="C10" s="40">
        <f>'SC12'!C13</f>
        <v>7650000</v>
      </c>
      <c r="D10" s="40">
        <f>'SC12'!D13</f>
        <v>13800000</v>
      </c>
      <c r="E10" s="42">
        <f>'SC12'!E13</f>
        <v>5921852.709999999</v>
      </c>
      <c r="F10" s="40"/>
      <c r="G10" s="40"/>
      <c r="H10" s="40"/>
      <c r="I10" s="40"/>
      <c r="J10" s="40"/>
      <c r="K10" s="40"/>
    </row>
    <row r="11" spans="1:11" x14ac:dyDescent="0.25">
      <c r="A11" s="39" t="str">
        <f>LEFT('SC12'!A14,3)</f>
        <v>Mar</v>
      </c>
      <c r="B11" s="40">
        <f>'SC12'!B14</f>
        <v>26513949.549999993</v>
      </c>
      <c r="C11" s="40">
        <f>'SC12'!C14</f>
        <v>25394461</v>
      </c>
      <c r="D11" s="40">
        <f>'SC12'!D14</f>
        <v>23493029</v>
      </c>
      <c r="E11" s="42">
        <f>'SC12'!E14</f>
        <v>80220938.629999995</v>
      </c>
      <c r="F11" s="40"/>
      <c r="G11" s="40"/>
      <c r="H11" s="40"/>
      <c r="I11" s="40"/>
      <c r="J11" s="40"/>
      <c r="K11" s="40"/>
    </row>
    <row r="12" spans="1:11" x14ac:dyDescent="0.25">
      <c r="A12" s="39" t="str">
        <f>LEFT('SC12'!A15,3)</f>
        <v>Apr</v>
      </c>
      <c r="B12" s="40">
        <f>'SC12'!B15</f>
        <v>11961420.52</v>
      </c>
      <c r="C12" s="40">
        <f>'SC12'!C15</f>
        <v>7650000</v>
      </c>
      <c r="D12" s="40">
        <f>'SC12'!D15</f>
        <v>28555088</v>
      </c>
      <c r="E12" s="42">
        <f>'SC12'!E15</f>
        <v>4454387.6100000003</v>
      </c>
      <c r="F12" s="40"/>
      <c r="G12" s="40"/>
      <c r="H12" s="40"/>
      <c r="I12" s="40"/>
      <c r="J12" s="40"/>
      <c r="K12" s="40"/>
    </row>
    <row r="13" spans="1:11" x14ac:dyDescent="0.25">
      <c r="A13" s="39" t="str">
        <f>LEFT('SC12'!A16,3)</f>
        <v>May</v>
      </c>
      <c r="B13" s="40">
        <f>'SC12'!B16</f>
        <v>22284429.489999995</v>
      </c>
      <c r="C13" s="40">
        <f>'SC12'!C16</f>
        <v>11400000</v>
      </c>
      <c r="D13" s="40">
        <f>'SC12'!D16</f>
        <v>25207714</v>
      </c>
      <c r="E13" s="42">
        <f>'SC12'!E16</f>
        <v>15548183.369999997</v>
      </c>
      <c r="F13" s="40"/>
      <c r="G13" s="40"/>
      <c r="H13" s="40"/>
      <c r="I13" s="40"/>
      <c r="J13" s="40"/>
      <c r="K13" s="40"/>
    </row>
    <row r="14" spans="1:11" x14ac:dyDescent="0.25">
      <c r="A14" s="80" t="str">
        <f>LEFT('SC12'!A17,3)</f>
        <v>Jun</v>
      </c>
      <c r="B14" s="303">
        <f>'SC12'!B17</f>
        <v>94518863.090000093</v>
      </c>
      <c r="C14" s="303">
        <f>'SC12'!C17</f>
        <v>70909429</v>
      </c>
      <c r="D14" s="303">
        <f>'SC12'!D17</f>
        <v>31584839.220000029</v>
      </c>
      <c r="E14" s="304">
        <f>'SC12'!E17</f>
        <v>28743525.049999993</v>
      </c>
      <c r="F14" s="40"/>
      <c r="G14" s="40"/>
      <c r="H14" s="40"/>
      <c r="I14" s="40"/>
      <c r="J14" s="40"/>
      <c r="K14" s="40"/>
    </row>
    <row r="26" spans="1:9" ht="13.5" x14ac:dyDescent="0.25">
      <c r="A26" s="313" t="str">
        <f>'Template names'!B103</f>
        <v>Chart C2 2018/19 Capital Expenditure: YTD actual v YTD target</v>
      </c>
      <c r="B26" s="310"/>
      <c r="C26" s="310"/>
      <c r="D26" s="311"/>
      <c r="E26" s="57"/>
      <c r="F26" s="57"/>
      <c r="G26" s="57"/>
      <c r="H26" s="57"/>
      <c r="I26" s="57"/>
    </row>
    <row r="27" spans="1:9" x14ac:dyDescent="0.25">
      <c r="A27" s="268" t="s">
        <v>897</v>
      </c>
      <c r="B27" s="305" t="str">
        <f>'SC12'!F3</f>
        <v>YearTD actual</v>
      </c>
      <c r="C27" s="305" t="str">
        <f>'SC12'!G3</f>
        <v>YearTD budget</v>
      </c>
      <c r="D27" s="231"/>
      <c r="E27" s="57"/>
      <c r="F27" s="57"/>
      <c r="G27" s="57"/>
      <c r="H27" s="57"/>
      <c r="I27" s="57"/>
    </row>
    <row r="28" spans="1:9" x14ac:dyDescent="0.25">
      <c r="A28" s="307" t="str">
        <f>LEFT('SC12'!A6,3)</f>
        <v>Jul</v>
      </c>
      <c r="B28" s="308">
        <f>'SC12'!F6</f>
        <v>2062645.29</v>
      </c>
      <c r="C28" s="309">
        <f>'SC12'!G6</f>
        <v>12069496</v>
      </c>
      <c r="D28" s="40"/>
      <c r="E28" s="40"/>
      <c r="F28" s="40"/>
      <c r="G28" s="40"/>
      <c r="H28" s="40"/>
      <c r="I28" s="40"/>
    </row>
    <row r="29" spans="1:9" x14ac:dyDescent="0.25">
      <c r="A29" s="39" t="str">
        <f>LEFT('SC12'!A7,3)</f>
        <v>Aug</v>
      </c>
      <c r="B29" s="40">
        <f>'SC12'!F7</f>
        <v>9786337.4000000004</v>
      </c>
      <c r="C29" s="42">
        <f>'SC12'!G7</f>
        <v>40932210</v>
      </c>
      <c r="D29" s="40"/>
      <c r="E29" s="40"/>
      <c r="F29" s="40"/>
      <c r="G29" s="40"/>
      <c r="H29" s="40"/>
      <c r="I29" s="40"/>
    </row>
    <row r="30" spans="1:9" x14ac:dyDescent="0.25">
      <c r="A30" s="39" t="str">
        <f>LEFT('SC12'!A8,3)</f>
        <v>Sep</v>
      </c>
      <c r="B30" s="40">
        <f>'SC12'!F8</f>
        <v>36366130.640000001</v>
      </c>
      <c r="C30" s="42">
        <f>'SC12'!G8</f>
        <v>55357694</v>
      </c>
      <c r="D30" s="40"/>
      <c r="E30" s="40"/>
      <c r="F30" s="40"/>
      <c r="G30" s="40"/>
      <c r="H30" s="40"/>
      <c r="I30" s="40"/>
    </row>
    <row r="31" spans="1:9" x14ac:dyDescent="0.25">
      <c r="A31" s="39" t="str">
        <f>LEFT('SC12'!A9,3)</f>
        <v>Oct</v>
      </c>
      <c r="B31" s="40">
        <f>'SC12'!F9</f>
        <v>57713972.090000004</v>
      </c>
      <c r="C31" s="42">
        <f>'SC12'!G9</f>
        <v>70608784</v>
      </c>
      <c r="D31" s="40"/>
      <c r="E31" s="40"/>
      <c r="F31" s="40"/>
      <c r="G31" s="40"/>
      <c r="H31" s="40"/>
      <c r="I31" s="40"/>
    </row>
    <row r="32" spans="1:9" x14ac:dyDescent="0.25">
      <c r="A32" s="39" t="str">
        <f>LEFT('SC12'!A10,3)</f>
        <v>Nov</v>
      </c>
      <c r="B32" s="40">
        <f>'SC12'!F10</f>
        <v>80968917.350000009</v>
      </c>
      <c r="C32" s="42">
        <f>'SC12'!G10</f>
        <v>121341343</v>
      </c>
      <c r="D32" s="40"/>
      <c r="E32" s="40"/>
      <c r="F32" s="40"/>
      <c r="G32" s="40"/>
      <c r="H32" s="40"/>
      <c r="I32" s="40"/>
    </row>
    <row r="33" spans="1:9" x14ac:dyDescent="0.25">
      <c r="A33" s="39" t="str">
        <f>LEFT('SC12'!A11,3)</f>
        <v>Dec</v>
      </c>
      <c r="B33" s="40">
        <f>'SC12'!F11</f>
        <v>86447656.090000004</v>
      </c>
      <c r="C33" s="42">
        <f>'SC12'!G11</f>
        <v>140312988</v>
      </c>
      <c r="D33" s="40"/>
      <c r="E33" s="40"/>
      <c r="F33" s="40"/>
      <c r="G33" s="40"/>
      <c r="H33" s="40"/>
      <c r="I33" s="40"/>
    </row>
    <row r="34" spans="1:9" x14ac:dyDescent="0.25">
      <c r="A34" s="39" t="str">
        <f>LEFT('SC12'!A12,3)</f>
        <v>Jan</v>
      </c>
      <c r="B34" s="40">
        <f>'SC12'!F12</f>
        <v>98007127</v>
      </c>
      <c r="C34" s="42">
        <f>'SC12'!G12</f>
        <v>149812988</v>
      </c>
      <c r="D34" s="40"/>
      <c r="E34" s="40"/>
      <c r="F34" s="40"/>
      <c r="G34" s="40"/>
      <c r="H34" s="40"/>
      <c r="I34" s="40"/>
    </row>
    <row r="35" spans="1:9" x14ac:dyDescent="0.25">
      <c r="A35" s="39" t="str">
        <f>LEFT('SC12'!A13,3)</f>
        <v>Feb</v>
      </c>
      <c r="B35" s="40">
        <f>'SC12'!F13</f>
        <v>103928979.70999999</v>
      </c>
      <c r="C35" s="42">
        <f>'SC12'!G13</f>
        <v>163612988</v>
      </c>
      <c r="D35" s="40"/>
      <c r="E35" s="40"/>
      <c r="F35" s="40"/>
      <c r="G35" s="40"/>
      <c r="H35" s="40"/>
      <c r="I35" s="40"/>
    </row>
    <row r="36" spans="1:9" x14ac:dyDescent="0.25">
      <c r="A36" s="39" t="str">
        <f>LEFT('SC12'!A14,3)</f>
        <v>Mar</v>
      </c>
      <c r="B36" s="40">
        <f>'SC12'!F14</f>
        <v>184149918.33999997</v>
      </c>
      <c r="C36" s="42">
        <f>'SC12'!G14</f>
        <v>187106017</v>
      </c>
      <c r="D36" s="40"/>
      <c r="E36" s="40"/>
      <c r="F36" s="40"/>
      <c r="G36" s="40"/>
      <c r="H36" s="40"/>
      <c r="I36" s="40"/>
    </row>
    <row r="37" spans="1:9" x14ac:dyDescent="0.25">
      <c r="A37" s="39" t="str">
        <f>LEFT('SC12'!A15,3)</f>
        <v>Apr</v>
      </c>
      <c r="B37" s="40">
        <f>'SC12'!F15</f>
        <v>188604305.94999999</v>
      </c>
      <c r="C37" s="42">
        <f>'SC12'!G15</f>
        <v>215661105</v>
      </c>
      <c r="D37" s="40"/>
      <c r="E37" s="40"/>
      <c r="F37" s="40"/>
      <c r="G37" s="40"/>
      <c r="H37" s="40"/>
      <c r="I37" s="40"/>
    </row>
    <row r="38" spans="1:9" x14ac:dyDescent="0.25">
      <c r="A38" s="39" t="str">
        <f>LEFT('SC12'!A16,3)</f>
        <v>May</v>
      </c>
      <c r="B38" s="40">
        <f>'SC12'!F16</f>
        <v>204152489.31999999</v>
      </c>
      <c r="C38" s="42">
        <f>'SC12'!G16</f>
        <v>240868819</v>
      </c>
      <c r="D38" s="40"/>
      <c r="E38" s="40"/>
      <c r="F38" s="40"/>
      <c r="G38" s="40"/>
      <c r="H38" s="40"/>
      <c r="I38" s="40"/>
    </row>
    <row r="39" spans="1:9" x14ac:dyDescent="0.25">
      <c r="A39" s="80" t="str">
        <f>LEFT('SC12'!A17,3)</f>
        <v>Jun</v>
      </c>
      <c r="B39" s="303">
        <f>'SC12'!F17</f>
        <v>232896014.36999997</v>
      </c>
      <c r="C39" s="304">
        <f>'SC12'!G17</f>
        <v>272453658.22000003</v>
      </c>
      <c r="D39" s="40"/>
      <c r="E39" s="40"/>
      <c r="F39" s="40"/>
      <c r="G39" s="40"/>
      <c r="H39" s="40"/>
      <c r="I39" s="40"/>
    </row>
    <row r="51" spans="1:9" ht="13.5" x14ac:dyDescent="0.25">
      <c r="A51" s="313" t="str">
        <f>'Template names'!B104</f>
        <v>Chart C3 Aged Consumer Debtors Analysis</v>
      </c>
      <c r="B51" s="310"/>
      <c r="C51" s="310"/>
      <c r="D51" s="311"/>
      <c r="E51" s="57"/>
      <c r="F51" s="57"/>
      <c r="G51" s="57"/>
      <c r="H51" s="57"/>
      <c r="I51" s="57"/>
    </row>
    <row r="52" spans="1:9" x14ac:dyDescent="0.25">
      <c r="A52" s="57"/>
      <c r="B52" s="45" t="str">
        <f>'SC3'!C3</f>
        <v>0-30 Days</v>
      </c>
      <c r="C52" s="57" t="str">
        <f>'SC3'!D3</f>
        <v>31-60 Days</v>
      </c>
      <c r="D52" s="57" t="str">
        <f>'SC3'!E3</f>
        <v>61-90 Days</v>
      </c>
      <c r="E52" s="57" t="str">
        <f>'SC3'!F3</f>
        <v>91-120 Days</v>
      </c>
      <c r="F52" s="57" t="str">
        <f>'SC3'!G3</f>
        <v>121-150 Dys</v>
      </c>
      <c r="G52" s="57" t="str">
        <f>'SC3'!H3</f>
        <v>151-180 Dys</v>
      </c>
      <c r="H52" s="57" t="str">
        <f>'SC3'!I3</f>
        <v>181 Dys-1 Yr</v>
      </c>
      <c r="I52" s="57" t="str">
        <f>'SC3'!J3</f>
        <v>Over 1Yr</v>
      </c>
    </row>
    <row r="53" spans="1:9" x14ac:dyDescent="0.25">
      <c r="A53" s="57" t="str">
        <f>Head2</f>
        <v>Budget Year 2018/19</v>
      </c>
      <c r="B53" s="40">
        <f>'SC3'!C14</f>
        <v>57729753.519999996</v>
      </c>
      <c r="C53" s="40">
        <f>'SC3'!D14</f>
        <v>4213513.2299999995</v>
      </c>
      <c r="D53" s="40">
        <f>'SC3'!E14</f>
        <v>3886743.83</v>
      </c>
      <c r="E53" s="40">
        <f>'SC3'!F14</f>
        <v>3836324.4800000004</v>
      </c>
      <c r="F53" s="40">
        <f>'SC3'!G14</f>
        <v>3233164.09</v>
      </c>
      <c r="G53" s="40">
        <f>'SC3'!H14</f>
        <v>3544594.38</v>
      </c>
      <c r="H53" s="40">
        <f>'SC3'!I14</f>
        <v>21661426.529999994</v>
      </c>
      <c r="I53" s="40">
        <f>'SC3'!J14</f>
        <v>76512738.069999993</v>
      </c>
    </row>
    <row r="54" spans="1:9" x14ac:dyDescent="0.25">
      <c r="A54" s="57" t="str">
        <f>Head1</f>
        <v>2017/18</v>
      </c>
      <c r="B54" s="40">
        <f>'SC3'!C15</f>
        <v>42971345.739999995</v>
      </c>
      <c r="C54" s="40">
        <f>'SC3'!D15</f>
        <v>5255237.08</v>
      </c>
      <c r="D54" s="40">
        <f>'SC3'!E15</f>
        <v>3458926.4</v>
      </c>
      <c r="E54" s="40">
        <f>'SC3'!F15</f>
        <v>4065554.2899999996</v>
      </c>
      <c r="F54" s="40">
        <f>'SC3'!G15</f>
        <v>3267220.0200000005</v>
      </c>
      <c r="G54" s="40">
        <f>'SC3'!H15</f>
        <v>3332626.55</v>
      </c>
      <c r="H54" s="40">
        <f>'SC3'!I15</f>
        <v>20545998.139999997</v>
      </c>
      <c r="I54" s="40">
        <f>'SC3'!J15</f>
        <v>66539239.590000011</v>
      </c>
    </row>
    <row r="55" spans="1:9" x14ac:dyDescent="0.25">
      <c r="B55" s="40"/>
      <c r="C55" s="40"/>
      <c r="D55" s="40"/>
      <c r="E55" s="40"/>
      <c r="F55" s="40"/>
      <c r="G55" s="40"/>
      <c r="H55" s="40"/>
      <c r="I55" s="40"/>
    </row>
    <row r="56" spans="1:9" x14ac:dyDescent="0.25">
      <c r="B56" s="40"/>
      <c r="C56" s="40"/>
      <c r="D56" s="40"/>
      <c r="E56" s="40"/>
      <c r="F56" s="40"/>
      <c r="G56" s="40"/>
      <c r="H56" s="40"/>
      <c r="I56" s="40"/>
    </row>
    <row r="57" spans="1:9" x14ac:dyDescent="0.25">
      <c r="B57" s="40"/>
      <c r="C57" s="40"/>
      <c r="D57" s="40"/>
      <c r="E57" s="40"/>
      <c r="F57" s="40"/>
      <c r="G57" s="40"/>
      <c r="H57" s="40"/>
      <c r="I57" s="40"/>
    </row>
    <row r="58" spans="1:9" x14ac:dyDescent="0.25">
      <c r="B58" s="40"/>
      <c r="C58" s="40"/>
      <c r="D58" s="40"/>
      <c r="E58" s="40"/>
      <c r="F58" s="40"/>
      <c r="G58" s="40"/>
      <c r="H58" s="40"/>
      <c r="I58" s="40"/>
    </row>
    <row r="59" spans="1:9" x14ac:dyDescent="0.25">
      <c r="B59" s="40"/>
      <c r="C59" s="40"/>
      <c r="D59" s="40"/>
      <c r="E59" s="40"/>
      <c r="F59" s="40"/>
      <c r="G59" s="40"/>
      <c r="H59" s="40"/>
      <c r="I59" s="40"/>
    </row>
    <row r="60" spans="1:9" x14ac:dyDescent="0.25">
      <c r="B60" s="40"/>
      <c r="C60" s="40"/>
      <c r="D60" s="40"/>
      <c r="E60" s="40"/>
      <c r="F60" s="40"/>
      <c r="G60" s="40"/>
      <c r="H60" s="40"/>
      <c r="I60" s="40"/>
    </row>
    <row r="61" spans="1:9" x14ac:dyDescent="0.25">
      <c r="B61" s="40"/>
      <c r="C61" s="40"/>
      <c r="D61" s="40"/>
      <c r="E61" s="40"/>
      <c r="F61" s="40"/>
      <c r="G61" s="40"/>
      <c r="H61" s="40"/>
      <c r="I61" s="40"/>
    </row>
    <row r="62" spans="1:9" x14ac:dyDescent="0.25">
      <c r="B62" s="40"/>
      <c r="C62" s="40"/>
      <c r="D62" s="40"/>
      <c r="E62" s="40"/>
      <c r="F62" s="40"/>
      <c r="G62" s="40"/>
      <c r="H62" s="40"/>
      <c r="I62" s="40"/>
    </row>
    <row r="63" spans="1:9" x14ac:dyDescent="0.25">
      <c r="B63" s="40"/>
      <c r="C63" s="40"/>
      <c r="D63" s="40"/>
      <c r="E63" s="40"/>
      <c r="F63" s="40"/>
      <c r="G63" s="40"/>
      <c r="H63" s="40"/>
      <c r="I63" s="40"/>
    </row>
    <row r="64" spans="1:9" x14ac:dyDescent="0.25">
      <c r="B64" s="40"/>
      <c r="C64" s="40"/>
      <c r="D64" s="40"/>
      <c r="E64" s="40"/>
      <c r="F64" s="40"/>
      <c r="G64" s="40"/>
      <c r="H64" s="40"/>
      <c r="I64" s="40"/>
    </row>
    <row r="76" spans="1:10" ht="13.5" x14ac:dyDescent="0.25">
      <c r="A76" s="313" t="str">
        <f>'Template names'!B105</f>
        <v>Chart C4 Consumer Debtors (total by Debtor Customer Category)</v>
      </c>
      <c r="B76" s="310"/>
      <c r="C76" s="310"/>
      <c r="D76" s="311"/>
      <c r="E76" s="57"/>
      <c r="F76" s="57"/>
      <c r="G76" s="57"/>
      <c r="H76" s="57"/>
      <c r="I76" s="57"/>
    </row>
    <row r="77" spans="1:10" x14ac:dyDescent="0.25">
      <c r="B77" s="45" t="str">
        <f>Head1</f>
        <v>2017/18</v>
      </c>
      <c r="C77" s="57" t="str">
        <f>Head2</f>
        <v>Budget Year 2018/19</v>
      </c>
      <c r="D77" s="57"/>
      <c r="E77" s="57"/>
      <c r="F77" s="57"/>
      <c r="G77" s="57"/>
      <c r="H77" s="57"/>
      <c r="I77" s="57"/>
      <c r="J77" s="57"/>
    </row>
    <row r="78" spans="1:10" x14ac:dyDescent="0.25">
      <c r="A78" s="57" t="str">
        <f>'SC3'!A17</f>
        <v>Organs of State</v>
      </c>
      <c r="B78" s="40">
        <f>C78*0.97</f>
        <v>5606412.8675999986</v>
      </c>
      <c r="C78" s="40">
        <f>'SC3'!K17</f>
        <v>5779807.0799999991</v>
      </c>
      <c r="D78" s="40"/>
      <c r="E78" s="40"/>
      <c r="F78" s="40"/>
      <c r="G78" s="40"/>
      <c r="H78" s="40"/>
      <c r="I78" s="40"/>
      <c r="J78" s="40"/>
    </row>
    <row r="79" spans="1:10" x14ac:dyDescent="0.25">
      <c r="A79" s="57" t="str">
        <f>'SC3'!A18</f>
        <v>Commercial</v>
      </c>
      <c r="B79" s="40">
        <f>C79*0.97</f>
        <v>14760664.221699998</v>
      </c>
      <c r="C79" s="40">
        <f>'SC3'!K18</f>
        <v>15217179.609999998</v>
      </c>
      <c r="D79" s="40"/>
      <c r="E79" s="40"/>
      <c r="F79" s="40"/>
      <c r="G79" s="40"/>
      <c r="H79" s="40"/>
      <c r="I79" s="40"/>
      <c r="J79" s="40"/>
    </row>
    <row r="80" spans="1:10" x14ac:dyDescent="0.25">
      <c r="A80" s="57" t="str">
        <f>'SC3'!A19</f>
        <v>Households</v>
      </c>
      <c r="B80" s="40">
        <f>C80*0.97</f>
        <v>133058471.86009999</v>
      </c>
      <c r="C80" s="40">
        <f>'SC3'!K19</f>
        <v>137173682.32999998</v>
      </c>
    </row>
    <row r="81" spans="1:3" x14ac:dyDescent="0.25">
      <c r="A81" s="57" t="str">
        <f>'SC3'!A20</f>
        <v>Other</v>
      </c>
      <c r="B81" s="40">
        <f>C81*0.97</f>
        <v>15954161.436699999</v>
      </c>
      <c r="C81" s="40">
        <f>'SC3'!K20</f>
        <v>16447589.109999999</v>
      </c>
    </row>
    <row r="101" spans="1:10" ht="13.5" x14ac:dyDescent="0.25">
      <c r="A101" s="313" t="str">
        <f>'Template names'!B106</f>
        <v>Chart C5 Aged Creditors Analysis</v>
      </c>
      <c r="B101" s="310"/>
      <c r="C101" s="310"/>
      <c r="D101" s="311"/>
      <c r="E101" s="57"/>
      <c r="F101" s="57"/>
    </row>
    <row r="102" spans="1:10" x14ac:dyDescent="0.25">
      <c r="B102" s="45" t="str">
        <f>'SC4'!A6</f>
        <v>Bulk Electricity</v>
      </c>
      <c r="C102" s="57" t="str">
        <f>'SC4'!A7</f>
        <v>Bulk Water</v>
      </c>
      <c r="D102" s="57" t="str">
        <f>'SC4'!A8</f>
        <v>PAYE deductions</v>
      </c>
      <c r="E102" s="57" t="str">
        <f>'SC4'!A9</f>
        <v>VAT (output less input)</v>
      </c>
      <c r="F102" s="57" t="str">
        <f>'SC4'!A10</f>
        <v>Pensions / Retirement deductions</v>
      </c>
      <c r="G102" s="57" t="str">
        <f>'SC4'!A11</f>
        <v>Loan repayments</v>
      </c>
      <c r="H102" s="57" t="str">
        <f>'SC4'!A12</f>
        <v>Trade Creditors</v>
      </c>
      <c r="I102" s="57" t="str">
        <f>'SC4'!A13</f>
        <v>Auditor General</v>
      </c>
      <c r="J102" s="57" t="str">
        <f>'SC4'!A14</f>
        <v>Other</v>
      </c>
    </row>
    <row r="103" spans="1:10" x14ac:dyDescent="0.25">
      <c r="A103" s="57" t="str">
        <f>A54</f>
        <v>2017/18</v>
      </c>
      <c r="B103" s="40">
        <f>'SC4'!L6</f>
        <v>0</v>
      </c>
      <c r="C103" s="40">
        <f>'SC4'!L7</f>
        <v>0</v>
      </c>
      <c r="D103" s="40">
        <f>'SC4'!L8</f>
        <v>0</v>
      </c>
      <c r="E103" s="40">
        <f>'SC4'!L9</f>
        <v>0</v>
      </c>
      <c r="F103" s="40">
        <f>'SC4'!L10</f>
        <v>0</v>
      </c>
      <c r="G103" s="40">
        <f>'SC4'!L11</f>
        <v>0</v>
      </c>
      <c r="H103" s="40">
        <f>'SC4'!L12</f>
        <v>0</v>
      </c>
      <c r="I103" s="40">
        <f>'SC4'!L13</f>
        <v>0</v>
      </c>
      <c r="J103" s="40">
        <f>'SC4'!L14</f>
        <v>0</v>
      </c>
    </row>
    <row r="104" spans="1:10" x14ac:dyDescent="0.25">
      <c r="A104" s="57" t="str">
        <f>A53</f>
        <v>Budget Year 2018/19</v>
      </c>
      <c r="B104" s="40">
        <f>'SC4'!K6</f>
        <v>31179404.559999999</v>
      </c>
      <c r="C104" s="40">
        <f>'SC4'!K7</f>
        <v>461077.64</v>
      </c>
      <c r="D104" s="40">
        <f>'SC4'!K8</f>
        <v>0</v>
      </c>
      <c r="E104" s="40">
        <f>'SC4'!K9</f>
        <v>4676910.6900000013</v>
      </c>
      <c r="F104" s="40">
        <f>'SC4'!K10</f>
        <v>0</v>
      </c>
      <c r="G104" s="40">
        <f>'SC4'!K11</f>
        <v>0</v>
      </c>
      <c r="H104" s="40">
        <f>'SC4'!K12</f>
        <v>8121133.7300000079</v>
      </c>
      <c r="I104" s="40">
        <f>'SC4'!K13</f>
        <v>0</v>
      </c>
      <c r="J104" s="40">
        <f>'SC4'!K14</f>
        <v>67343556.390000015</v>
      </c>
    </row>
    <row r="106" spans="1:10" ht="12" customHeight="1" x14ac:dyDescent="0.25">
      <c r="A106" s="57"/>
      <c r="B106" s="40"/>
      <c r="C106" s="40"/>
    </row>
  </sheetData>
  <sheetProtection selectLockedCells="1" selectUnlockedCells="1"/>
  <phoneticPr fontId="3"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V307"/>
  <sheetViews>
    <sheetView topLeftCell="A95" workbookViewId="0">
      <selection activeCell="B107" sqref="B107"/>
    </sheetView>
  </sheetViews>
  <sheetFormatPr defaultColWidth="9.140625" defaultRowHeight="11.25" x14ac:dyDescent="0.2"/>
  <cols>
    <col min="1" max="1" width="28.85546875" style="1" bestFit="1" customWidth="1"/>
    <col min="2" max="4" width="41.85546875" style="1" bestFit="1" customWidth="1"/>
    <col min="5" max="14" width="41.85546875" style="1" customWidth="1"/>
    <col min="15" max="15" width="43.5703125" style="1" customWidth="1"/>
    <col min="16" max="16" width="1.28515625" style="1" customWidth="1"/>
    <col min="17" max="17" width="9.140625" style="1"/>
    <col min="18" max="19" width="33.42578125" style="1" bestFit="1" customWidth="1"/>
    <col min="20" max="20" width="31.7109375" style="1" customWidth="1"/>
    <col min="21" max="21" width="22.85546875" style="1" customWidth="1"/>
    <col min="22" max="16384" width="9.140625" style="1"/>
  </cols>
  <sheetData>
    <row r="1" spans="1:22" s="317" customFormat="1" x14ac:dyDescent="0.2">
      <c r="A1" s="318" t="s">
        <v>684</v>
      </c>
      <c r="B1" s="319">
        <v>2007</v>
      </c>
      <c r="C1" s="319">
        <v>2008</v>
      </c>
      <c r="D1" s="319">
        <v>2009</v>
      </c>
      <c r="E1" s="320">
        <v>2010</v>
      </c>
      <c r="F1" s="319">
        <v>2011</v>
      </c>
      <c r="G1" s="320">
        <v>2012</v>
      </c>
      <c r="H1" s="319">
        <v>2013</v>
      </c>
      <c r="I1" s="320">
        <v>2014</v>
      </c>
      <c r="J1" s="319">
        <v>2015</v>
      </c>
      <c r="K1" s="320">
        <v>2016</v>
      </c>
      <c r="L1" s="319">
        <v>2017</v>
      </c>
      <c r="M1" s="320">
        <v>2018</v>
      </c>
      <c r="N1" s="319">
        <v>2019</v>
      </c>
      <c r="O1" s="320">
        <v>2020</v>
      </c>
      <c r="P1" s="321"/>
      <c r="Q1" s="322" t="s">
        <v>21</v>
      </c>
      <c r="R1" s="322" t="s">
        <v>22</v>
      </c>
      <c r="S1" s="322" t="s">
        <v>23</v>
      </c>
      <c r="T1" s="322" t="s">
        <v>24</v>
      </c>
      <c r="U1" s="322" t="s">
        <v>25</v>
      </c>
      <c r="V1" s="317" t="s">
        <v>80</v>
      </c>
    </row>
    <row r="2" spans="1:22" x14ac:dyDescent="0.2">
      <c r="A2" s="5" t="str">
        <f>'Template names'!C2</f>
        <v>Prior year -1</v>
      </c>
      <c r="B2" s="1" t="s">
        <v>566</v>
      </c>
      <c r="C2" s="1" t="s">
        <v>26</v>
      </c>
      <c r="D2" s="1" t="s">
        <v>27</v>
      </c>
      <c r="E2" s="325" t="str">
        <f>E1-1&amp;"/"&amp;RIGHT(E1,2)-0</f>
        <v>2009/10</v>
      </c>
      <c r="F2" s="325" t="str">
        <f t="shared" ref="F2:O2" si="0">F1-1&amp;"/"&amp;RIGHT(F1,2)-0</f>
        <v>2010/11</v>
      </c>
      <c r="G2" s="325" t="str">
        <f t="shared" si="0"/>
        <v>2011/12</v>
      </c>
      <c r="H2" s="325" t="str">
        <f t="shared" si="0"/>
        <v>2012/13</v>
      </c>
      <c r="I2" s="325" t="str">
        <f t="shared" si="0"/>
        <v>2013/14</v>
      </c>
      <c r="J2" s="325" t="str">
        <f t="shared" si="0"/>
        <v>2014/15</v>
      </c>
      <c r="K2" s="325" t="str">
        <f t="shared" si="0"/>
        <v>2015/16</v>
      </c>
      <c r="L2" s="325" t="str">
        <f t="shared" si="0"/>
        <v>2016/17</v>
      </c>
      <c r="M2" s="325" t="str">
        <f t="shared" si="0"/>
        <v>2017/18</v>
      </c>
      <c r="N2" s="325" t="str">
        <f t="shared" si="0"/>
        <v>2018/19</v>
      </c>
      <c r="O2" s="325" t="str">
        <f t="shared" si="0"/>
        <v>2019/20</v>
      </c>
      <c r="R2" s="1" t="s">
        <v>1001</v>
      </c>
      <c r="S2" s="1" t="s">
        <v>1011</v>
      </c>
      <c r="T2" s="1" t="s">
        <v>50</v>
      </c>
      <c r="U2" s="1" t="s">
        <v>1018</v>
      </c>
      <c r="V2" s="1" t="s">
        <v>581</v>
      </c>
    </row>
    <row r="3" spans="1:22" x14ac:dyDescent="0.2">
      <c r="A3" s="5" t="str">
        <f>'Template names'!C5</f>
        <v>MTREF header name</v>
      </c>
      <c r="B3" s="1" t="s">
        <v>29</v>
      </c>
      <c r="C3" s="1" t="s">
        <v>30</v>
      </c>
      <c r="D3" s="1" t="s">
        <v>31</v>
      </c>
      <c r="E3" s="323" t="str">
        <f>E1&amp;"/"&amp;RIGHT(E1,2)+1&amp;" Medium Term Revenue &amp; Expenditure Framework"</f>
        <v>2010/11 Medium Term Revenue &amp; Expenditure Framework</v>
      </c>
      <c r="F3" s="323" t="str">
        <f t="shared" ref="F3:O3" si="1">F1&amp;"/"&amp;RIGHT(F1,2)+1&amp;" Medium Term Revenue &amp; Expenditure Framework"</f>
        <v>2011/12 Medium Term Revenue &amp; Expenditure Framework</v>
      </c>
      <c r="G3" s="323" t="str">
        <f t="shared" si="1"/>
        <v>2012/13 Medium Term Revenue &amp; Expenditure Framework</v>
      </c>
      <c r="H3" s="323" t="str">
        <f t="shared" si="1"/>
        <v>2013/14 Medium Term Revenue &amp; Expenditure Framework</v>
      </c>
      <c r="I3" s="323" t="str">
        <f t="shared" si="1"/>
        <v>2014/15 Medium Term Revenue &amp; Expenditure Framework</v>
      </c>
      <c r="J3" s="323" t="str">
        <f t="shared" si="1"/>
        <v>2015/16 Medium Term Revenue &amp; Expenditure Framework</v>
      </c>
      <c r="K3" s="323" t="str">
        <f t="shared" si="1"/>
        <v>2016/17 Medium Term Revenue &amp; Expenditure Framework</v>
      </c>
      <c r="L3" s="323" t="str">
        <f t="shared" si="1"/>
        <v>2017/18 Medium Term Revenue &amp; Expenditure Framework</v>
      </c>
      <c r="M3" s="323" t="str">
        <f t="shared" si="1"/>
        <v>2018/19 Medium Term Revenue &amp; Expenditure Framework</v>
      </c>
      <c r="N3" s="323" t="str">
        <f t="shared" si="1"/>
        <v>2019/20 Medium Term Revenue &amp; Expenditure Framework</v>
      </c>
      <c r="O3" s="323" t="str">
        <f t="shared" si="1"/>
        <v>2020/21 Medium Term Revenue &amp; Expenditure Framework</v>
      </c>
      <c r="R3" s="1" t="s">
        <v>1002</v>
      </c>
      <c r="S3" s="1" t="s">
        <v>1012</v>
      </c>
      <c r="T3" s="1" t="s">
        <v>1023</v>
      </c>
      <c r="U3" s="1" t="s">
        <v>1019</v>
      </c>
      <c r="V3" s="1" t="s">
        <v>81</v>
      </c>
    </row>
    <row r="4" spans="1:22" x14ac:dyDescent="0.2">
      <c r="A4" s="5" t="str">
        <f>'Template names'!C4</f>
        <v>Approved budget year</v>
      </c>
      <c r="B4" s="1" t="s">
        <v>26</v>
      </c>
      <c r="C4" s="1" t="s">
        <v>27</v>
      </c>
      <c r="D4" s="1" t="s">
        <v>28</v>
      </c>
      <c r="E4" s="326" t="str">
        <f>E1&amp;"/"&amp;RIGHT(E1,2)+1</f>
        <v>2010/11</v>
      </c>
      <c r="F4" s="326" t="str">
        <f t="shared" ref="F4:O4" si="2">F1&amp;"/"&amp;RIGHT(F1,2)+1</f>
        <v>2011/12</v>
      </c>
      <c r="G4" s="326" t="str">
        <f t="shared" si="2"/>
        <v>2012/13</v>
      </c>
      <c r="H4" s="326" t="str">
        <f t="shared" si="2"/>
        <v>2013/14</v>
      </c>
      <c r="I4" s="326" t="str">
        <f t="shared" si="2"/>
        <v>2014/15</v>
      </c>
      <c r="J4" s="326" t="str">
        <f t="shared" si="2"/>
        <v>2015/16</v>
      </c>
      <c r="K4" s="326" t="str">
        <f t="shared" si="2"/>
        <v>2016/17</v>
      </c>
      <c r="L4" s="326" t="str">
        <f t="shared" si="2"/>
        <v>2017/18</v>
      </c>
      <c r="M4" s="326" t="str">
        <f t="shared" si="2"/>
        <v>2018/19</v>
      </c>
      <c r="N4" s="326" t="str">
        <f t="shared" si="2"/>
        <v>2019/20</v>
      </c>
      <c r="O4" s="326" t="str">
        <f t="shared" si="2"/>
        <v>2020/21</v>
      </c>
      <c r="R4" s="1" t="s">
        <v>1003</v>
      </c>
      <c r="S4" s="1" t="s">
        <v>724</v>
      </c>
      <c r="T4" s="1" t="s">
        <v>1013</v>
      </c>
      <c r="U4" s="1" t="s">
        <v>621</v>
      </c>
    </row>
    <row r="5" spans="1:22" x14ac:dyDescent="0.2">
      <c r="A5" s="5" t="str">
        <f>'Template names'!C12</f>
        <v>1st year of MTREF</v>
      </c>
      <c r="B5" s="1" t="s">
        <v>32</v>
      </c>
      <c r="C5" s="1" t="s">
        <v>33</v>
      </c>
      <c r="D5" s="1" t="s">
        <v>34</v>
      </c>
      <c r="E5" s="323" t="str">
        <f>"Budget Year "&amp;E1&amp;"/"&amp;RIGHT(E1,2)+1</f>
        <v>Budget Year 2010/11</v>
      </c>
      <c r="F5" s="323" t="str">
        <f t="shared" ref="F5:O5" si="3">"Budget Year "&amp;F1&amp;"/"&amp;RIGHT(F1,2)+1</f>
        <v>Budget Year 2011/12</v>
      </c>
      <c r="G5" s="323" t="str">
        <f t="shared" si="3"/>
        <v>Budget Year 2012/13</v>
      </c>
      <c r="H5" s="323" t="str">
        <f t="shared" si="3"/>
        <v>Budget Year 2013/14</v>
      </c>
      <c r="I5" s="323" t="str">
        <f t="shared" si="3"/>
        <v>Budget Year 2014/15</v>
      </c>
      <c r="J5" s="323" t="str">
        <f t="shared" si="3"/>
        <v>Budget Year 2015/16</v>
      </c>
      <c r="K5" s="323" t="str">
        <f t="shared" si="3"/>
        <v>Budget Year 2016/17</v>
      </c>
      <c r="L5" s="323" t="str">
        <f t="shared" si="3"/>
        <v>Budget Year 2017/18</v>
      </c>
      <c r="M5" s="323" t="str">
        <f t="shared" si="3"/>
        <v>Budget Year 2018/19</v>
      </c>
      <c r="N5" s="323" t="str">
        <f t="shared" si="3"/>
        <v>Budget Year 2019/20</v>
      </c>
      <c r="O5" s="323" t="str">
        <f t="shared" si="3"/>
        <v>Budget Year 2020/21</v>
      </c>
      <c r="R5" s="1" t="s">
        <v>577</v>
      </c>
      <c r="S5" s="1" t="s">
        <v>782</v>
      </c>
      <c r="T5" s="1" t="s">
        <v>1014</v>
      </c>
      <c r="U5" s="1" t="s">
        <v>1020</v>
      </c>
    </row>
    <row r="6" spans="1:22" x14ac:dyDescent="0.2">
      <c r="A6" s="5" t="str">
        <f>'Template names'!C13</f>
        <v>2nd year of MTREF</v>
      </c>
      <c r="B6" s="1" t="s">
        <v>35</v>
      </c>
      <c r="C6" s="1" t="s">
        <v>36</v>
      </c>
      <c r="D6" s="1" t="s">
        <v>37</v>
      </c>
      <c r="E6" s="323" t="str">
        <f>"Budget Year +1 "&amp;E1+1&amp;"/"&amp;RIGHT(E1,2)+2</f>
        <v>Budget Year +1 2011/12</v>
      </c>
      <c r="F6" s="323" t="str">
        <f t="shared" ref="F6:O6" si="4">"Budget Year +1 "&amp;F1+1&amp;"/"&amp;RIGHT(F1,2)+2</f>
        <v>Budget Year +1 2012/13</v>
      </c>
      <c r="G6" s="323" t="str">
        <f t="shared" si="4"/>
        <v>Budget Year +1 2013/14</v>
      </c>
      <c r="H6" s="323" t="str">
        <f t="shared" si="4"/>
        <v>Budget Year +1 2014/15</v>
      </c>
      <c r="I6" s="323" t="str">
        <f t="shared" si="4"/>
        <v>Budget Year +1 2015/16</v>
      </c>
      <c r="J6" s="323" t="str">
        <f t="shared" si="4"/>
        <v>Budget Year +1 2016/17</v>
      </c>
      <c r="K6" s="323" t="str">
        <f t="shared" si="4"/>
        <v>Budget Year +1 2017/18</v>
      </c>
      <c r="L6" s="323" t="str">
        <f t="shared" si="4"/>
        <v>Budget Year +1 2018/19</v>
      </c>
      <c r="M6" s="323" t="str">
        <f t="shared" si="4"/>
        <v>Budget Year +1 2019/20</v>
      </c>
      <c r="N6" s="323" t="str">
        <f t="shared" si="4"/>
        <v>Budget Year +1 2020/21</v>
      </c>
      <c r="O6" s="323" t="str">
        <f t="shared" si="4"/>
        <v>Budget Year +1 2021/22</v>
      </c>
      <c r="R6" s="1" t="s">
        <v>1004</v>
      </c>
      <c r="T6" s="1" t="s">
        <v>1015</v>
      </c>
      <c r="U6" s="1" t="s">
        <v>1021</v>
      </c>
    </row>
    <row r="7" spans="1:22" x14ac:dyDescent="0.2">
      <c r="A7" s="5" t="str">
        <f>'Template names'!C14</f>
        <v>3rd year of MTREF</v>
      </c>
      <c r="B7" s="1" t="s">
        <v>38</v>
      </c>
      <c r="C7" s="1" t="s">
        <v>39</v>
      </c>
      <c r="D7" s="1" t="s">
        <v>40</v>
      </c>
      <c r="E7" s="323" t="str">
        <f>"Budget Year +2 "&amp;E1+2&amp;"/"&amp;RIGHT(E1,2)+3</f>
        <v>Budget Year +2 2012/13</v>
      </c>
      <c r="F7" s="323" t="str">
        <f t="shared" ref="F7:O7" si="5">"Budget Year +2 "&amp;F1+2&amp;"/"&amp;RIGHT(F1,2)+3</f>
        <v>Budget Year +2 2013/14</v>
      </c>
      <c r="G7" s="323" t="str">
        <f t="shared" si="5"/>
        <v>Budget Year +2 2014/15</v>
      </c>
      <c r="H7" s="323" t="str">
        <f t="shared" si="5"/>
        <v>Budget Year +2 2015/16</v>
      </c>
      <c r="I7" s="323" t="str">
        <f t="shared" si="5"/>
        <v>Budget Year +2 2016/17</v>
      </c>
      <c r="J7" s="323" t="str">
        <f t="shared" si="5"/>
        <v>Budget Year +2 2017/18</v>
      </c>
      <c r="K7" s="323" t="str">
        <f t="shared" si="5"/>
        <v>Budget Year +2 2018/19</v>
      </c>
      <c r="L7" s="323" t="str">
        <f t="shared" si="5"/>
        <v>Budget Year +2 2019/20</v>
      </c>
      <c r="M7" s="323" t="str">
        <f t="shared" si="5"/>
        <v>Budget Year +2 2020/21</v>
      </c>
      <c r="N7" s="323" t="str">
        <f t="shared" si="5"/>
        <v>Budget Year +2 2021/22</v>
      </c>
      <c r="O7" s="323" t="str">
        <f t="shared" si="5"/>
        <v>Budget Year +2 2022/23</v>
      </c>
      <c r="R7" s="1" t="s">
        <v>1005</v>
      </c>
      <c r="T7" s="1" t="s">
        <v>1016</v>
      </c>
      <c r="U7" s="1" t="s">
        <v>1022</v>
      </c>
    </row>
    <row r="8" spans="1:22" ht="20.25" customHeight="1" x14ac:dyDescent="0.25">
      <c r="A8" s="324" t="s">
        <v>41</v>
      </c>
      <c r="R8" s="1" t="s">
        <v>1006</v>
      </c>
      <c r="T8" s="1" t="s">
        <v>1017</v>
      </c>
      <c r="U8" s="1" t="s">
        <v>782</v>
      </c>
    </row>
    <row r="9" spans="1:22" x14ac:dyDescent="0.2">
      <c r="R9" s="1" t="s">
        <v>1007</v>
      </c>
    </row>
    <row r="10" spans="1:22" x14ac:dyDescent="0.2">
      <c r="R10" s="1" t="s">
        <v>1008</v>
      </c>
    </row>
    <row r="11" spans="1:22" x14ac:dyDescent="0.2">
      <c r="R11" s="1" t="s">
        <v>1009</v>
      </c>
    </row>
    <row r="12" spans="1:22" x14ac:dyDescent="0.2">
      <c r="R12" s="1" t="s">
        <v>1010</v>
      </c>
    </row>
    <row r="26" spans="1:3" x14ac:dyDescent="0.2">
      <c r="A26" s="1" t="s">
        <v>185</v>
      </c>
      <c r="B26" s="1">
        <v>239</v>
      </c>
    </row>
    <row r="27" spans="1:3" x14ac:dyDescent="0.2">
      <c r="A27" s="1" t="s">
        <v>186</v>
      </c>
      <c r="B27" s="1" t="str">
        <f>INDEX(B28:B311,B26,1)</f>
        <v>WC025 Breede Valley</v>
      </c>
    </row>
    <row r="28" spans="1:3" ht="12.75" x14ac:dyDescent="0.2">
      <c r="B28" t="s">
        <v>187</v>
      </c>
      <c r="C28" s="1" t="s">
        <v>188</v>
      </c>
    </row>
    <row r="29" spans="1:3" ht="12.75" x14ac:dyDescent="0.2">
      <c r="B29" s="620" t="s">
        <v>1082</v>
      </c>
      <c r="C29" s="620" t="s">
        <v>1127</v>
      </c>
    </row>
    <row r="30" spans="1:3" ht="12.75" x14ac:dyDescent="0.2">
      <c r="B30" s="620" t="s">
        <v>1083</v>
      </c>
      <c r="C30" s="621" t="s">
        <v>1127</v>
      </c>
    </row>
    <row r="31" spans="1:3" ht="12.75" x14ac:dyDescent="0.2">
      <c r="B31" s="620" t="s">
        <v>1136</v>
      </c>
      <c r="C31" s="620" t="s">
        <v>1127</v>
      </c>
    </row>
    <row r="32" spans="1:3" ht="12.75" x14ac:dyDescent="0.2">
      <c r="B32" s="620" t="s">
        <v>224</v>
      </c>
      <c r="C32" s="620" t="s">
        <v>1127</v>
      </c>
    </row>
    <row r="33" spans="2:3" ht="12.75" x14ac:dyDescent="0.2">
      <c r="B33" s="620" t="s">
        <v>225</v>
      </c>
      <c r="C33" s="620" t="s">
        <v>1127</v>
      </c>
    </row>
    <row r="34" spans="2:3" ht="12.75" x14ac:dyDescent="0.2">
      <c r="B34" s="620" t="s">
        <v>226</v>
      </c>
      <c r="C34" s="620" t="s">
        <v>1127</v>
      </c>
    </row>
    <row r="35" spans="2:3" ht="12.75" x14ac:dyDescent="0.2">
      <c r="B35" s="620" t="s">
        <v>227</v>
      </c>
      <c r="C35" s="620" t="s">
        <v>1127</v>
      </c>
    </row>
    <row r="36" spans="2:3" ht="12.75" x14ac:dyDescent="0.2">
      <c r="B36" s="620" t="s">
        <v>228</v>
      </c>
      <c r="C36" s="621" t="s">
        <v>1127</v>
      </c>
    </row>
    <row r="37" spans="2:3" ht="12.75" x14ac:dyDescent="0.2">
      <c r="B37" s="620" t="s">
        <v>991</v>
      </c>
      <c r="C37" s="620" t="s">
        <v>1127</v>
      </c>
    </row>
    <row r="38" spans="2:3" ht="12.75" x14ac:dyDescent="0.2">
      <c r="B38" s="620" t="s">
        <v>1118</v>
      </c>
      <c r="C38" s="620" t="s">
        <v>1127</v>
      </c>
    </row>
    <row r="39" spans="2:3" ht="12.75" x14ac:dyDescent="0.2">
      <c r="B39" s="620" t="s">
        <v>229</v>
      </c>
      <c r="C39" s="620" t="s">
        <v>1127</v>
      </c>
    </row>
    <row r="40" spans="2:3" ht="12.75" x14ac:dyDescent="0.2">
      <c r="B40" s="620" t="s">
        <v>230</v>
      </c>
      <c r="C40" t="s">
        <v>1127</v>
      </c>
    </row>
    <row r="41" spans="2:3" ht="12.75" x14ac:dyDescent="0.2">
      <c r="B41" s="620" t="s">
        <v>231</v>
      </c>
      <c r="C41" t="s">
        <v>1127</v>
      </c>
    </row>
    <row r="42" spans="2:3" ht="12.75" x14ac:dyDescent="0.2">
      <c r="B42" s="620" t="s">
        <v>232</v>
      </c>
      <c r="C42" t="s">
        <v>1127</v>
      </c>
    </row>
    <row r="43" spans="2:3" ht="12.75" x14ac:dyDescent="0.2">
      <c r="B43" s="620" t="s">
        <v>233</v>
      </c>
      <c r="C43" t="s">
        <v>1127</v>
      </c>
    </row>
    <row r="44" spans="2:3" ht="12.75" x14ac:dyDescent="0.2">
      <c r="B44" s="620" t="s">
        <v>1137</v>
      </c>
      <c r="C44" t="s">
        <v>1127</v>
      </c>
    </row>
    <row r="45" spans="2:3" ht="12.75" x14ac:dyDescent="0.2">
      <c r="B45" s="620" t="s">
        <v>190</v>
      </c>
      <c r="C45" t="s">
        <v>1127</v>
      </c>
    </row>
    <row r="46" spans="2:3" ht="12.75" x14ac:dyDescent="0.2">
      <c r="B46" s="620" t="s">
        <v>234</v>
      </c>
      <c r="C46" t="s">
        <v>1127</v>
      </c>
    </row>
    <row r="47" spans="2:3" ht="12.75" x14ac:dyDescent="0.2">
      <c r="B47" s="620" t="s">
        <v>235</v>
      </c>
      <c r="C47" t="s">
        <v>1127</v>
      </c>
    </row>
    <row r="48" spans="2:3" ht="12.75" x14ac:dyDescent="0.2">
      <c r="B48" s="620" t="s">
        <v>236</v>
      </c>
      <c r="C48" t="s">
        <v>1127</v>
      </c>
    </row>
    <row r="49" spans="2:3" ht="12.75" x14ac:dyDescent="0.2">
      <c r="B49" s="620" t="s">
        <v>237</v>
      </c>
      <c r="C49" t="s">
        <v>1127</v>
      </c>
    </row>
    <row r="50" spans="2:3" ht="12.75" x14ac:dyDescent="0.2">
      <c r="B50" s="620" t="s">
        <v>238</v>
      </c>
      <c r="C50" s="620" t="s">
        <v>1127</v>
      </c>
    </row>
    <row r="51" spans="2:3" ht="12.75" x14ac:dyDescent="0.2">
      <c r="B51" s="620" t="s">
        <v>1138</v>
      </c>
      <c r="C51" s="620" t="s">
        <v>1127</v>
      </c>
    </row>
    <row r="52" spans="2:3" ht="12.75" x14ac:dyDescent="0.2">
      <c r="B52" s="620" t="s">
        <v>191</v>
      </c>
      <c r="C52" s="620" t="s">
        <v>1127</v>
      </c>
    </row>
    <row r="53" spans="2:3" ht="12.75" x14ac:dyDescent="0.2">
      <c r="B53" s="620" t="s">
        <v>239</v>
      </c>
      <c r="C53" s="620" t="s">
        <v>1127</v>
      </c>
    </row>
    <row r="54" spans="2:3" ht="12.75" x14ac:dyDescent="0.2">
      <c r="B54" s="620" t="s">
        <v>240</v>
      </c>
      <c r="C54" s="620" t="s">
        <v>1127</v>
      </c>
    </row>
    <row r="55" spans="2:3" ht="12.75" x14ac:dyDescent="0.2">
      <c r="B55" s="620" t="s">
        <v>1139</v>
      </c>
      <c r="C55" s="620" t="s">
        <v>1127</v>
      </c>
    </row>
    <row r="56" spans="2:3" ht="12.75" x14ac:dyDescent="0.2">
      <c r="B56" s="620" t="s">
        <v>989</v>
      </c>
      <c r="C56" s="620" t="s">
        <v>1127</v>
      </c>
    </row>
    <row r="57" spans="2:3" ht="12.75" x14ac:dyDescent="0.2">
      <c r="B57" s="620" t="s">
        <v>241</v>
      </c>
      <c r="C57" t="s">
        <v>1127</v>
      </c>
    </row>
    <row r="58" spans="2:3" ht="12.75" x14ac:dyDescent="0.2">
      <c r="B58" s="620" t="s">
        <v>242</v>
      </c>
      <c r="C58" t="s">
        <v>1127</v>
      </c>
    </row>
    <row r="59" spans="2:3" ht="12.75" x14ac:dyDescent="0.2">
      <c r="B59" s="620" t="s">
        <v>243</v>
      </c>
      <c r="C59" s="620" t="s">
        <v>1127</v>
      </c>
    </row>
    <row r="60" spans="2:3" ht="12.75" x14ac:dyDescent="0.2">
      <c r="B60" s="620" t="s">
        <v>244</v>
      </c>
      <c r="C60" s="620" t="s">
        <v>1127</v>
      </c>
    </row>
    <row r="61" spans="2:3" ht="12.75" x14ac:dyDescent="0.2">
      <c r="B61" s="620" t="s">
        <v>245</v>
      </c>
      <c r="C61" s="620" t="s">
        <v>1127</v>
      </c>
    </row>
    <row r="62" spans="2:3" ht="12.75" x14ac:dyDescent="0.2">
      <c r="B62" s="620" t="s">
        <v>192</v>
      </c>
      <c r="C62" s="620" t="s">
        <v>1127</v>
      </c>
    </row>
    <row r="63" spans="2:3" ht="12.75" x14ac:dyDescent="0.2">
      <c r="B63" s="620" t="s">
        <v>246</v>
      </c>
      <c r="C63" t="s">
        <v>1127</v>
      </c>
    </row>
    <row r="64" spans="2:3" ht="12.75" x14ac:dyDescent="0.2">
      <c r="B64" s="620" t="s">
        <v>247</v>
      </c>
      <c r="C64" s="620" t="s">
        <v>1127</v>
      </c>
    </row>
    <row r="65" spans="2:3" ht="12.75" x14ac:dyDescent="0.2">
      <c r="B65" s="620" t="s">
        <v>1077</v>
      </c>
      <c r="C65" s="620" t="s">
        <v>1127</v>
      </c>
    </row>
    <row r="66" spans="2:3" ht="12.75" x14ac:dyDescent="0.2">
      <c r="B66" s="620" t="s">
        <v>1078</v>
      </c>
      <c r="C66" s="620" t="s">
        <v>1127</v>
      </c>
    </row>
    <row r="67" spans="2:3" ht="12.75" x14ac:dyDescent="0.2">
      <c r="B67" s="620" t="s">
        <v>219</v>
      </c>
      <c r="C67" s="620" t="s">
        <v>1127</v>
      </c>
    </row>
    <row r="68" spans="2:3" ht="12.75" x14ac:dyDescent="0.2">
      <c r="B68" s="620" t="s">
        <v>1084</v>
      </c>
      <c r="C68" s="620" t="s">
        <v>1128</v>
      </c>
    </row>
    <row r="69" spans="2:3" ht="12.75" x14ac:dyDescent="0.2">
      <c r="B69" s="620" t="s">
        <v>248</v>
      </c>
      <c r="C69" s="620" t="s">
        <v>1128</v>
      </c>
    </row>
    <row r="70" spans="2:3" ht="12.75" x14ac:dyDescent="0.2">
      <c r="B70" s="620" t="s">
        <v>249</v>
      </c>
      <c r="C70" s="620" t="s">
        <v>1128</v>
      </c>
    </row>
    <row r="71" spans="2:3" ht="12.75" x14ac:dyDescent="0.2">
      <c r="B71" s="620" t="s">
        <v>250</v>
      </c>
      <c r="C71" s="620" t="s">
        <v>1128</v>
      </c>
    </row>
    <row r="72" spans="2:3" ht="12.75" x14ac:dyDescent="0.2">
      <c r="B72" s="620" t="s">
        <v>193</v>
      </c>
      <c r="C72" s="620" t="s">
        <v>1128</v>
      </c>
    </row>
    <row r="73" spans="2:3" ht="12.75" x14ac:dyDescent="0.2">
      <c r="B73" s="620" t="s">
        <v>251</v>
      </c>
      <c r="C73" s="620" t="s">
        <v>1128</v>
      </c>
    </row>
    <row r="74" spans="2:3" ht="12.75" x14ac:dyDescent="0.2">
      <c r="B74" s="620" t="s">
        <v>252</v>
      </c>
      <c r="C74" s="620" t="s">
        <v>1128</v>
      </c>
    </row>
    <row r="75" spans="2:3" ht="12.75" x14ac:dyDescent="0.2">
      <c r="B75" s="620" t="s">
        <v>253</v>
      </c>
      <c r="C75" s="620" t="s">
        <v>1128</v>
      </c>
    </row>
    <row r="76" spans="2:3" ht="12.75" x14ac:dyDescent="0.2">
      <c r="B76" s="620" t="s">
        <v>254</v>
      </c>
      <c r="C76" s="620" t="s">
        <v>1128</v>
      </c>
    </row>
    <row r="77" spans="2:3" ht="12.75" x14ac:dyDescent="0.2">
      <c r="B77" s="620" t="s">
        <v>255</v>
      </c>
      <c r="C77" s="620" t="s">
        <v>1128</v>
      </c>
    </row>
    <row r="78" spans="2:3" ht="12.75" x14ac:dyDescent="0.2">
      <c r="B78" s="620" t="s">
        <v>194</v>
      </c>
      <c r="C78" s="620" t="s">
        <v>1128</v>
      </c>
    </row>
    <row r="79" spans="2:3" ht="12.75" x14ac:dyDescent="0.2">
      <c r="B79" s="620" t="s">
        <v>256</v>
      </c>
      <c r="C79" s="620" t="s">
        <v>1128</v>
      </c>
    </row>
    <row r="80" spans="2:3" ht="12.75" x14ac:dyDescent="0.2">
      <c r="B80" s="620" t="s">
        <v>257</v>
      </c>
      <c r="C80" s="620" t="s">
        <v>1128</v>
      </c>
    </row>
    <row r="81" spans="2:3" ht="12.75" x14ac:dyDescent="0.2">
      <c r="B81" s="620" t="s">
        <v>258</v>
      </c>
      <c r="C81" s="620" t="s">
        <v>1128</v>
      </c>
    </row>
    <row r="82" spans="2:3" ht="12.75" x14ac:dyDescent="0.2">
      <c r="B82" s="620" t="s">
        <v>259</v>
      </c>
      <c r="C82" s="620" t="s">
        <v>1128</v>
      </c>
    </row>
    <row r="83" spans="2:3" ht="12.75" x14ac:dyDescent="0.2">
      <c r="B83" s="620" t="s">
        <v>260</v>
      </c>
      <c r="C83" s="620" t="s">
        <v>1128</v>
      </c>
    </row>
    <row r="84" spans="2:3" ht="12.75" x14ac:dyDescent="0.2">
      <c r="B84" s="620" t="s">
        <v>1079</v>
      </c>
      <c r="C84" s="620" t="s">
        <v>1128</v>
      </c>
    </row>
    <row r="85" spans="2:3" ht="12.75" x14ac:dyDescent="0.2">
      <c r="B85" s="620" t="s">
        <v>195</v>
      </c>
      <c r="C85" s="620" t="s">
        <v>1128</v>
      </c>
    </row>
    <row r="86" spans="2:3" ht="12.75" x14ac:dyDescent="0.2">
      <c r="B86" s="620" t="s">
        <v>261</v>
      </c>
      <c r="C86" s="620" t="s">
        <v>1128</v>
      </c>
    </row>
    <row r="87" spans="2:3" ht="12.75" x14ac:dyDescent="0.2">
      <c r="B87" s="620" t="s">
        <v>262</v>
      </c>
      <c r="C87" s="620" t="s">
        <v>1128</v>
      </c>
    </row>
    <row r="88" spans="2:3" ht="12.75" x14ac:dyDescent="0.2">
      <c r="B88" s="620" t="s">
        <v>263</v>
      </c>
      <c r="C88" s="620" t="s">
        <v>1128</v>
      </c>
    </row>
    <row r="89" spans="2:3" ht="12.75" x14ac:dyDescent="0.2">
      <c r="B89" s="620" t="s">
        <v>264</v>
      </c>
      <c r="C89" s="620" t="s">
        <v>1128</v>
      </c>
    </row>
    <row r="90" spans="2:3" ht="12.75" x14ac:dyDescent="0.2">
      <c r="B90" s="620" t="s">
        <v>196</v>
      </c>
      <c r="C90" s="620" t="s">
        <v>1128</v>
      </c>
    </row>
    <row r="91" spans="2:3" ht="12.75" x14ac:dyDescent="0.2">
      <c r="B91" s="620" t="s">
        <v>1085</v>
      </c>
      <c r="C91" s="620" t="s">
        <v>1129</v>
      </c>
    </row>
    <row r="92" spans="2:3" ht="12.75" x14ac:dyDescent="0.2">
      <c r="B92" s="620" t="s">
        <v>1086</v>
      </c>
      <c r="C92" s="620" t="s">
        <v>1129</v>
      </c>
    </row>
    <row r="93" spans="2:3" ht="12.75" x14ac:dyDescent="0.2">
      <c r="B93" s="620" t="s">
        <v>1087</v>
      </c>
      <c r="C93" s="620" t="s">
        <v>1129</v>
      </c>
    </row>
    <row r="94" spans="2:3" ht="12.75" x14ac:dyDescent="0.2">
      <c r="B94" s="620" t="s">
        <v>265</v>
      </c>
      <c r="C94" s="620" t="s">
        <v>1129</v>
      </c>
    </row>
    <row r="95" spans="2:3" ht="12.75" x14ac:dyDescent="0.2">
      <c r="B95" s="620" t="s">
        <v>266</v>
      </c>
      <c r="C95" s="620" t="s">
        <v>1129</v>
      </c>
    </row>
    <row r="96" spans="2:3" ht="12.75" x14ac:dyDescent="0.2">
      <c r="B96" s="620" t="s">
        <v>267</v>
      </c>
      <c r="C96" s="620" t="s">
        <v>1129</v>
      </c>
    </row>
    <row r="97" spans="2:3" ht="12.75" x14ac:dyDescent="0.2">
      <c r="B97" s="620" t="s">
        <v>218</v>
      </c>
      <c r="C97" s="620" t="s">
        <v>1129</v>
      </c>
    </row>
    <row r="98" spans="2:3" ht="12.75" x14ac:dyDescent="0.2">
      <c r="B98" s="620" t="s">
        <v>268</v>
      </c>
      <c r="C98" s="620" t="s">
        <v>1129</v>
      </c>
    </row>
    <row r="99" spans="2:3" ht="12.75" x14ac:dyDescent="0.2">
      <c r="B99" s="620" t="s">
        <v>992</v>
      </c>
      <c r="C99" s="620" t="s">
        <v>1129</v>
      </c>
    </row>
    <row r="100" spans="2:3" ht="12.75" x14ac:dyDescent="0.2">
      <c r="B100" s="640" t="s">
        <v>1119</v>
      </c>
      <c r="C100" s="620" t="s">
        <v>1129</v>
      </c>
    </row>
    <row r="101" spans="2:3" ht="12.75" x14ac:dyDescent="0.2">
      <c r="B101" s="620" t="s">
        <v>220</v>
      </c>
      <c r="C101" s="620" t="s">
        <v>1129</v>
      </c>
    </row>
    <row r="102" spans="2:3" ht="12.75" x14ac:dyDescent="0.2">
      <c r="B102" s="620" t="s">
        <v>1088</v>
      </c>
      <c r="C102" s="620" t="s">
        <v>1130</v>
      </c>
    </row>
    <row r="103" spans="2:3" ht="12.75" x14ac:dyDescent="0.2">
      <c r="B103" s="620" t="s">
        <v>269</v>
      </c>
      <c r="C103" s="620" t="s">
        <v>1130</v>
      </c>
    </row>
    <row r="104" spans="2:3" ht="12.75" x14ac:dyDescent="0.2">
      <c r="B104" s="620" t="s">
        <v>270</v>
      </c>
      <c r="C104" s="620" t="s">
        <v>1130</v>
      </c>
    </row>
    <row r="105" spans="2:3" ht="12.75" x14ac:dyDescent="0.2">
      <c r="B105" s="620" t="s">
        <v>271</v>
      </c>
      <c r="C105" s="620" t="s">
        <v>1130</v>
      </c>
    </row>
    <row r="106" spans="2:3" ht="12.75" x14ac:dyDescent="0.2">
      <c r="B106" s="620" t="s">
        <v>1147</v>
      </c>
      <c r="C106" s="620" t="s">
        <v>1130</v>
      </c>
    </row>
    <row r="107" spans="2:3" ht="12.75" x14ac:dyDescent="0.2">
      <c r="B107" s="620" t="s">
        <v>197</v>
      </c>
      <c r="C107" s="620" t="s">
        <v>1130</v>
      </c>
    </row>
    <row r="108" spans="2:3" ht="12.75" x14ac:dyDescent="0.2">
      <c r="B108" s="620" t="s">
        <v>272</v>
      </c>
      <c r="C108" s="620" t="s">
        <v>1130</v>
      </c>
    </row>
    <row r="109" spans="2:3" ht="12.75" x14ac:dyDescent="0.2">
      <c r="B109" s="620" t="s">
        <v>273</v>
      </c>
      <c r="C109" s="620" t="s">
        <v>1130</v>
      </c>
    </row>
    <row r="110" spans="2:3" ht="12.75" x14ac:dyDescent="0.2">
      <c r="B110" s="620" t="s">
        <v>274</v>
      </c>
      <c r="C110" s="620" t="s">
        <v>1130</v>
      </c>
    </row>
    <row r="111" spans="2:3" ht="12.75" x14ac:dyDescent="0.2">
      <c r="B111" s="620" t="s">
        <v>275</v>
      </c>
      <c r="C111" s="620" t="s">
        <v>1130</v>
      </c>
    </row>
    <row r="112" spans="2:3" ht="12.75" x14ac:dyDescent="0.2">
      <c r="B112" s="620" t="s">
        <v>276</v>
      </c>
      <c r="C112" s="620" t="s">
        <v>1130</v>
      </c>
    </row>
    <row r="113" spans="2:3" ht="12.75" x14ac:dyDescent="0.2">
      <c r="B113" s="620" t="s">
        <v>277</v>
      </c>
      <c r="C113" s="620" t="s">
        <v>1130</v>
      </c>
    </row>
    <row r="114" spans="2:3" ht="12.75" x14ac:dyDescent="0.2">
      <c r="B114" s="620" t="s">
        <v>278</v>
      </c>
      <c r="C114" s="620" t="s">
        <v>1130</v>
      </c>
    </row>
    <row r="115" spans="2:3" ht="12.75" x14ac:dyDescent="0.2">
      <c r="B115" s="620" t="s">
        <v>198</v>
      </c>
      <c r="C115" s="620" t="s">
        <v>1130</v>
      </c>
    </row>
    <row r="116" spans="2:3" ht="12.75" x14ac:dyDescent="0.2">
      <c r="B116" s="620" t="s">
        <v>279</v>
      </c>
      <c r="C116" s="620" t="s">
        <v>1130</v>
      </c>
    </row>
    <row r="117" spans="2:3" ht="12.75" x14ac:dyDescent="0.2">
      <c r="B117" s="620" t="s">
        <v>1140</v>
      </c>
      <c r="C117" s="620" t="s">
        <v>1130</v>
      </c>
    </row>
    <row r="118" spans="2:3" ht="12.75" x14ac:dyDescent="0.2">
      <c r="B118" s="620" t="s">
        <v>1141</v>
      </c>
      <c r="C118" s="620" t="s">
        <v>1130</v>
      </c>
    </row>
    <row r="119" spans="2:3" ht="12.75" x14ac:dyDescent="0.2">
      <c r="B119" s="620" t="s">
        <v>199</v>
      </c>
      <c r="C119" s="620" t="s">
        <v>1130</v>
      </c>
    </row>
    <row r="120" spans="2:3" ht="12.75" x14ac:dyDescent="0.2">
      <c r="B120" s="620" t="s">
        <v>280</v>
      </c>
      <c r="C120" s="620" t="s">
        <v>1130</v>
      </c>
    </row>
    <row r="121" spans="2:3" ht="12.75" x14ac:dyDescent="0.2">
      <c r="B121" s="620" t="s">
        <v>281</v>
      </c>
      <c r="C121" s="620" t="s">
        <v>1130</v>
      </c>
    </row>
    <row r="122" spans="2:3" ht="12.75" x14ac:dyDescent="0.2">
      <c r="B122" s="620" t="s">
        <v>282</v>
      </c>
      <c r="C122" s="620" t="s">
        <v>1130</v>
      </c>
    </row>
    <row r="123" spans="2:3" ht="12.75" x14ac:dyDescent="0.2">
      <c r="B123" s="620" t="s">
        <v>284</v>
      </c>
      <c r="C123" s="620" t="s">
        <v>1130</v>
      </c>
    </row>
    <row r="124" spans="2:3" ht="12.75" x14ac:dyDescent="0.2">
      <c r="B124" s="620" t="s">
        <v>200</v>
      </c>
      <c r="C124" s="620" t="s">
        <v>1130</v>
      </c>
    </row>
    <row r="125" spans="2:3" ht="12.75" x14ac:dyDescent="0.2">
      <c r="B125" s="620" t="s">
        <v>285</v>
      </c>
      <c r="C125" s="620" t="s">
        <v>1130</v>
      </c>
    </row>
    <row r="126" spans="2:3" ht="12.75" x14ac:dyDescent="0.2">
      <c r="B126" s="620" t="s">
        <v>286</v>
      </c>
      <c r="C126" s="620" t="s">
        <v>1130</v>
      </c>
    </row>
    <row r="127" spans="2:3" ht="12.75" x14ac:dyDescent="0.2">
      <c r="B127" s="620" t="s">
        <v>287</v>
      </c>
      <c r="C127" s="620" t="s">
        <v>1130</v>
      </c>
    </row>
    <row r="128" spans="2:3" ht="12.75" x14ac:dyDescent="0.2">
      <c r="B128" s="620" t="s">
        <v>201</v>
      </c>
      <c r="C128" s="620" t="s">
        <v>1130</v>
      </c>
    </row>
    <row r="129" spans="2:3" ht="12.75" x14ac:dyDescent="0.2">
      <c r="B129" s="620" t="s">
        <v>288</v>
      </c>
      <c r="C129" s="620" t="s">
        <v>1130</v>
      </c>
    </row>
    <row r="130" spans="2:3" ht="12.75" x14ac:dyDescent="0.2">
      <c r="B130" s="620" t="s">
        <v>289</v>
      </c>
      <c r="C130" s="620" t="s">
        <v>1130</v>
      </c>
    </row>
    <row r="131" spans="2:3" ht="12.75" x14ac:dyDescent="0.2">
      <c r="B131" s="620" t="s">
        <v>290</v>
      </c>
      <c r="C131" s="620" t="s">
        <v>1130</v>
      </c>
    </row>
    <row r="132" spans="2:3" ht="12.75" x14ac:dyDescent="0.2">
      <c r="B132" s="620" t="s">
        <v>291</v>
      </c>
      <c r="C132" s="620" t="s">
        <v>1130</v>
      </c>
    </row>
    <row r="133" spans="2:3" ht="12.75" x14ac:dyDescent="0.2">
      <c r="B133" s="620" t="s">
        <v>292</v>
      </c>
      <c r="C133" s="620" t="s">
        <v>1130</v>
      </c>
    </row>
    <row r="134" spans="2:3" ht="12.75" x14ac:dyDescent="0.2">
      <c r="B134" s="620" t="s">
        <v>202</v>
      </c>
      <c r="C134" s="620" t="s">
        <v>1130</v>
      </c>
    </row>
    <row r="135" spans="2:3" ht="12.75" x14ac:dyDescent="0.2">
      <c r="B135" s="620" t="s">
        <v>293</v>
      </c>
      <c r="C135" s="620" t="s">
        <v>1130</v>
      </c>
    </row>
    <row r="136" spans="2:3" ht="12.75" x14ac:dyDescent="0.2">
      <c r="B136" s="620" t="s">
        <v>294</v>
      </c>
      <c r="C136" s="620" t="s">
        <v>1130</v>
      </c>
    </row>
    <row r="137" spans="2:3" ht="12.75" x14ac:dyDescent="0.2">
      <c r="B137" s="620" t="s">
        <v>295</v>
      </c>
      <c r="C137" s="620" t="s">
        <v>1130</v>
      </c>
    </row>
    <row r="138" spans="2:3" ht="12.75" x14ac:dyDescent="0.2">
      <c r="B138" s="620" t="s">
        <v>1142</v>
      </c>
      <c r="C138" s="620" t="s">
        <v>1130</v>
      </c>
    </row>
    <row r="139" spans="2:3" ht="12.75" x14ac:dyDescent="0.2">
      <c r="B139" s="620" t="s">
        <v>203</v>
      </c>
      <c r="C139" s="620" t="s">
        <v>1130</v>
      </c>
    </row>
    <row r="140" spans="2:3" ht="12.75" x14ac:dyDescent="0.2">
      <c r="B140" s="620" t="s">
        <v>993</v>
      </c>
      <c r="C140" s="620" t="s">
        <v>1130</v>
      </c>
    </row>
    <row r="141" spans="2:3" ht="12.75" x14ac:dyDescent="0.2">
      <c r="B141" s="620" t="s">
        <v>296</v>
      </c>
      <c r="C141" s="620" t="s">
        <v>1130</v>
      </c>
    </row>
    <row r="142" spans="2:3" ht="12.75" x14ac:dyDescent="0.2">
      <c r="B142" s="620" t="s">
        <v>994</v>
      </c>
      <c r="C142" t="s">
        <v>1130</v>
      </c>
    </row>
    <row r="143" spans="2:3" ht="12.75" x14ac:dyDescent="0.2">
      <c r="B143" s="620" t="s">
        <v>297</v>
      </c>
      <c r="C143" t="s">
        <v>1130</v>
      </c>
    </row>
    <row r="144" spans="2:3" ht="12.75" x14ac:dyDescent="0.2">
      <c r="B144" s="620" t="s">
        <v>298</v>
      </c>
      <c r="C144" t="s">
        <v>1130</v>
      </c>
    </row>
    <row r="145" spans="2:3" ht="12.75" x14ac:dyDescent="0.2">
      <c r="B145" s="620" t="s">
        <v>1143</v>
      </c>
      <c r="C145" t="s">
        <v>1130</v>
      </c>
    </row>
    <row r="146" spans="2:3" ht="12.75" x14ac:dyDescent="0.2">
      <c r="B146" s="620" t="s">
        <v>299</v>
      </c>
      <c r="C146" t="s">
        <v>1130</v>
      </c>
    </row>
    <row r="147" spans="2:3" ht="12.75" x14ac:dyDescent="0.2">
      <c r="B147" s="620" t="s">
        <v>300</v>
      </c>
      <c r="C147" t="s">
        <v>1130</v>
      </c>
    </row>
    <row r="148" spans="2:3" ht="12.75" x14ac:dyDescent="0.2">
      <c r="B148" s="620" t="s">
        <v>301</v>
      </c>
      <c r="C148" t="s">
        <v>1130</v>
      </c>
    </row>
    <row r="149" spans="2:3" ht="12.75" x14ac:dyDescent="0.2">
      <c r="B149" s="620" t="s">
        <v>302</v>
      </c>
      <c r="C149" t="s">
        <v>1130</v>
      </c>
    </row>
    <row r="150" spans="2:3" ht="12.75" x14ac:dyDescent="0.2">
      <c r="B150" s="620" t="s">
        <v>204</v>
      </c>
      <c r="C150" t="s">
        <v>1130</v>
      </c>
    </row>
    <row r="151" spans="2:3" ht="12.75" x14ac:dyDescent="0.2">
      <c r="B151" s="620" t="s">
        <v>303</v>
      </c>
      <c r="C151" t="s">
        <v>1130</v>
      </c>
    </row>
    <row r="152" spans="2:3" ht="12.75" x14ac:dyDescent="0.2">
      <c r="B152" s="620" t="s">
        <v>304</v>
      </c>
      <c r="C152" t="s">
        <v>1130</v>
      </c>
    </row>
    <row r="153" spans="2:3" ht="12.75" x14ac:dyDescent="0.2">
      <c r="B153" s="620" t="s">
        <v>305</v>
      </c>
      <c r="C153" t="s">
        <v>1130</v>
      </c>
    </row>
    <row r="154" spans="2:3" ht="12.75" x14ac:dyDescent="0.2">
      <c r="B154" s="620" t="s">
        <v>1144</v>
      </c>
      <c r="C154" t="s">
        <v>1130</v>
      </c>
    </row>
    <row r="155" spans="2:3" ht="12.75" x14ac:dyDescent="0.2">
      <c r="B155" s="620" t="s">
        <v>1120</v>
      </c>
      <c r="C155" t="s">
        <v>1130</v>
      </c>
    </row>
    <row r="156" spans="2:3" ht="12.75" x14ac:dyDescent="0.2">
      <c r="B156" s="620" t="s">
        <v>306</v>
      </c>
      <c r="C156" t="s">
        <v>1131</v>
      </c>
    </row>
    <row r="157" spans="2:3" ht="12.75" x14ac:dyDescent="0.2">
      <c r="B157" s="620" t="s">
        <v>307</v>
      </c>
      <c r="C157" t="s">
        <v>1131</v>
      </c>
    </row>
    <row r="158" spans="2:3" ht="12.75" x14ac:dyDescent="0.2">
      <c r="B158" s="620" t="s">
        <v>308</v>
      </c>
      <c r="C158" t="s">
        <v>1131</v>
      </c>
    </row>
    <row r="159" spans="2:3" ht="12.75" x14ac:dyDescent="0.2">
      <c r="B159" s="620" t="s">
        <v>309</v>
      </c>
      <c r="C159" t="s">
        <v>1131</v>
      </c>
    </row>
    <row r="160" spans="2:3" ht="12.75" x14ac:dyDescent="0.2">
      <c r="B160" s="620" t="s">
        <v>310</v>
      </c>
      <c r="C160" t="s">
        <v>1131</v>
      </c>
    </row>
    <row r="161" spans="2:3" ht="12.75" x14ac:dyDescent="0.2">
      <c r="B161" s="620" t="s">
        <v>209</v>
      </c>
      <c r="C161" t="s">
        <v>1131</v>
      </c>
    </row>
    <row r="162" spans="2:3" ht="12.75" x14ac:dyDescent="0.2">
      <c r="B162" s="620" t="s">
        <v>311</v>
      </c>
      <c r="C162" t="s">
        <v>1131</v>
      </c>
    </row>
    <row r="163" spans="2:3" ht="12.75" x14ac:dyDescent="0.2">
      <c r="B163" s="620" t="s">
        <v>312</v>
      </c>
      <c r="C163" t="s">
        <v>1131</v>
      </c>
    </row>
    <row r="164" spans="2:3" ht="12.75" x14ac:dyDescent="0.2">
      <c r="B164" s="620" t="s">
        <v>313</v>
      </c>
      <c r="C164" t="s">
        <v>1131</v>
      </c>
    </row>
    <row r="165" spans="2:3" ht="12.75" x14ac:dyDescent="0.2">
      <c r="B165" s="640" t="s">
        <v>1121</v>
      </c>
      <c r="C165" t="s">
        <v>1131</v>
      </c>
    </row>
    <row r="166" spans="2:3" ht="12.75" x14ac:dyDescent="0.2">
      <c r="B166" s="620" t="s">
        <v>210</v>
      </c>
      <c r="C166" t="s">
        <v>1131</v>
      </c>
    </row>
    <row r="167" spans="2:3" ht="12.75" x14ac:dyDescent="0.2">
      <c r="B167" s="620" t="s">
        <v>314</v>
      </c>
      <c r="C167" t="s">
        <v>1131</v>
      </c>
    </row>
    <row r="168" spans="2:3" ht="12.75" x14ac:dyDescent="0.2">
      <c r="B168" s="620" t="s">
        <v>315</v>
      </c>
      <c r="C168" t="s">
        <v>1131</v>
      </c>
    </row>
    <row r="169" spans="2:3" ht="12.75" x14ac:dyDescent="0.2">
      <c r="B169" s="620" t="s">
        <v>316</v>
      </c>
      <c r="C169" t="s">
        <v>1131</v>
      </c>
    </row>
    <row r="170" spans="2:3" ht="12.75" x14ac:dyDescent="0.2">
      <c r="B170" s="620" t="s">
        <v>317</v>
      </c>
      <c r="C170" t="s">
        <v>1131</v>
      </c>
    </row>
    <row r="171" spans="2:3" ht="12.75" x14ac:dyDescent="0.2">
      <c r="B171" s="620" t="s">
        <v>211</v>
      </c>
      <c r="C171" t="s">
        <v>1131</v>
      </c>
    </row>
    <row r="172" spans="2:3" ht="12.75" x14ac:dyDescent="0.2">
      <c r="B172" s="620" t="s">
        <v>318</v>
      </c>
      <c r="C172" t="s">
        <v>1131</v>
      </c>
    </row>
    <row r="173" spans="2:3" ht="12.75" x14ac:dyDescent="0.2">
      <c r="B173" s="620" t="s">
        <v>319</v>
      </c>
      <c r="C173" t="s">
        <v>1131</v>
      </c>
    </row>
    <row r="174" spans="2:3" ht="12.75" x14ac:dyDescent="0.2">
      <c r="B174" s="620" t="s">
        <v>320</v>
      </c>
      <c r="C174" t="s">
        <v>1131</v>
      </c>
    </row>
    <row r="175" spans="2:3" ht="12.75" x14ac:dyDescent="0.2">
      <c r="B175" s="620" t="s">
        <v>321</v>
      </c>
      <c r="C175" t="s">
        <v>1131</v>
      </c>
    </row>
    <row r="176" spans="2:3" ht="12.75" x14ac:dyDescent="0.2">
      <c r="B176" s="640" t="s">
        <v>1122</v>
      </c>
      <c r="C176" t="s">
        <v>1131</v>
      </c>
    </row>
    <row r="177" spans="2:3" ht="12.75" x14ac:dyDescent="0.2">
      <c r="B177" s="620" t="s">
        <v>212</v>
      </c>
      <c r="C177" t="s">
        <v>1131</v>
      </c>
    </row>
    <row r="178" spans="2:3" ht="12.75" x14ac:dyDescent="0.2">
      <c r="B178" s="620" t="s">
        <v>995</v>
      </c>
      <c r="C178" t="s">
        <v>1131</v>
      </c>
    </row>
    <row r="179" spans="2:3" ht="12.75" x14ac:dyDescent="0.2">
      <c r="B179" s="620" t="s">
        <v>322</v>
      </c>
      <c r="C179" t="s">
        <v>1131</v>
      </c>
    </row>
    <row r="180" spans="2:3" ht="12.75" x14ac:dyDescent="0.2">
      <c r="B180" s="620" t="s">
        <v>996</v>
      </c>
      <c r="C180" t="s">
        <v>1131</v>
      </c>
    </row>
    <row r="181" spans="2:3" ht="12.75" x14ac:dyDescent="0.2">
      <c r="B181" s="640" t="s">
        <v>1123</v>
      </c>
      <c r="C181" t="s">
        <v>1131</v>
      </c>
    </row>
    <row r="182" spans="2:3" ht="12.75" x14ac:dyDescent="0.2">
      <c r="B182" s="620" t="s">
        <v>1075</v>
      </c>
      <c r="C182" t="s">
        <v>1131</v>
      </c>
    </row>
    <row r="183" spans="2:3" ht="12.75" x14ac:dyDescent="0.2">
      <c r="B183" s="620" t="s">
        <v>323</v>
      </c>
      <c r="C183" t="s">
        <v>1132</v>
      </c>
    </row>
    <row r="184" spans="2:3" ht="12.75" x14ac:dyDescent="0.2">
      <c r="B184" s="620" t="s">
        <v>324</v>
      </c>
      <c r="C184" t="s">
        <v>1132</v>
      </c>
    </row>
    <row r="185" spans="2:3" ht="12.75" x14ac:dyDescent="0.2">
      <c r="B185" s="620" t="s">
        <v>325</v>
      </c>
      <c r="C185" t="s">
        <v>1132</v>
      </c>
    </row>
    <row r="186" spans="2:3" ht="12.75" x14ac:dyDescent="0.2">
      <c r="B186" s="620" t="s">
        <v>997</v>
      </c>
      <c r="C186" t="s">
        <v>1132</v>
      </c>
    </row>
    <row r="187" spans="2:3" ht="12.75" x14ac:dyDescent="0.2">
      <c r="B187" s="620" t="s">
        <v>326</v>
      </c>
      <c r="C187" t="s">
        <v>1132</v>
      </c>
    </row>
    <row r="188" spans="2:3" ht="12.75" x14ac:dyDescent="0.2">
      <c r="B188" s="620" t="s">
        <v>327</v>
      </c>
      <c r="C188" t="s">
        <v>1132</v>
      </c>
    </row>
    <row r="189" spans="2:3" ht="12.75" x14ac:dyDescent="0.2">
      <c r="B189" s="620" t="s">
        <v>328</v>
      </c>
      <c r="C189" t="s">
        <v>1132</v>
      </c>
    </row>
    <row r="190" spans="2:3" ht="12.75" x14ac:dyDescent="0.2">
      <c r="B190" s="620" t="s">
        <v>206</v>
      </c>
      <c r="C190" t="s">
        <v>1132</v>
      </c>
    </row>
    <row r="191" spans="2:3" ht="12.75" x14ac:dyDescent="0.2">
      <c r="B191" s="620" t="s">
        <v>998</v>
      </c>
      <c r="C191" t="s">
        <v>1132</v>
      </c>
    </row>
    <row r="192" spans="2:3" ht="12.75" x14ac:dyDescent="0.2">
      <c r="B192" s="620" t="s">
        <v>1080</v>
      </c>
      <c r="C192" t="s">
        <v>1132</v>
      </c>
    </row>
    <row r="193" spans="2:3" ht="12.75" x14ac:dyDescent="0.2">
      <c r="B193" s="620" t="s">
        <v>329</v>
      </c>
      <c r="C193" s="620" t="s">
        <v>1132</v>
      </c>
    </row>
    <row r="194" spans="2:3" ht="12.75" x14ac:dyDescent="0.2">
      <c r="B194" s="620" t="s">
        <v>330</v>
      </c>
      <c r="C194" s="620" t="s">
        <v>1132</v>
      </c>
    </row>
    <row r="195" spans="2:3" ht="12.75" x14ac:dyDescent="0.2">
      <c r="B195" s="620" t="s">
        <v>1081</v>
      </c>
      <c r="C195" s="620" t="s">
        <v>1132</v>
      </c>
    </row>
    <row r="196" spans="2:3" ht="12.75" x14ac:dyDescent="0.2">
      <c r="B196" s="620" t="s">
        <v>331</v>
      </c>
      <c r="C196" s="620" t="s">
        <v>1132</v>
      </c>
    </row>
    <row r="197" spans="2:3" ht="12.75" x14ac:dyDescent="0.2">
      <c r="B197" s="620" t="s">
        <v>207</v>
      </c>
      <c r="C197" s="620" t="s">
        <v>1132</v>
      </c>
    </row>
    <row r="198" spans="2:3" ht="12.75" x14ac:dyDescent="0.2">
      <c r="B198" s="620" t="s">
        <v>332</v>
      </c>
      <c r="C198" s="620" t="s">
        <v>1132</v>
      </c>
    </row>
    <row r="199" spans="2:3" ht="12.75" x14ac:dyDescent="0.2">
      <c r="B199" s="620" t="s">
        <v>333</v>
      </c>
      <c r="C199" s="620" t="s">
        <v>1132</v>
      </c>
    </row>
    <row r="200" spans="2:3" ht="12.75" x14ac:dyDescent="0.2">
      <c r="B200" s="620" t="s">
        <v>334</v>
      </c>
      <c r="C200" s="620" t="s">
        <v>1132</v>
      </c>
    </row>
    <row r="201" spans="2:3" ht="12.75" x14ac:dyDescent="0.2">
      <c r="B201" s="620" t="s">
        <v>1145</v>
      </c>
      <c r="C201" s="620" t="s">
        <v>1132</v>
      </c>
    </row>
    <row r="202" spans="2:3" ht="12.75" x14ac:dyDescent="0.2">
      <c r="B202" s="620" t="s">
        <v>208</v>
      </c>
      <c r="C202" s="620" t="s">
        <v>1132</v>
      </c>
    </row>
    <row r="203" spans="2:3" ht="12.75" x14ac:dyDescent="0.2">
      <c r="B203" s="620" t="s">
        <v>999</v>
      </c>
      <c r="C203" s="620" t="s">
        <v>1133</v>
      </c>
    </row>
    <row r="204" spans="2:3" ht="12.75" x14ac:dyDescent="0.2">
      <c r="B204" s="620" t="s">
        <v>391</v>
      </c>
      <c r="C204" s="620" t="s">
        <v>1133</v>
      </c>
    </row>
    <row r="205" spans="2:3" ht="12.75" x14ac:dyDescent="0.2">
      <c r="B205" s="620" t="s">
        <v>392</v>
      </c>
      <c r="C205" s="620" t="s">
        <v>1133</v>
      </c>
    </row>
    <row r="206" spans="2:3" ht="12.75" x14ac:dyDescent="0.2">
      <c r="B206" s="620" t="s">
        <v>990</v>
      </c>
      <c r="C206" s="620" t="s">
        <v>1133</v>
      </c>
    </row>
    <row r="207" spans="2:3" ht="12.75" x14ac:dyDescent="0.2">
      <c r="B207" s="620" t="s">
        <v>335</v>
      </c>
      <c r="C207" s="620" t="s">
        <v>1133</v>
      </c>
    </row>
    <row r="208" spans="2:3" ht="12.75" x14ac:dyDescent="0.2">
      <c r="B208" s="620" t="s">
        <v>336</v>
      </c>
      <c r="C208" s="620" t="s">
        <v>1133</v>
      </c>
    </row>
    <row r="209" spans="2:3" ht="12.75" x14ac:dyDescent="0.2">
      <c r="B209" s="620" t="s">
        <v>337</v>
      </c>
      <c r="C209" s="620" t="s">
        <v>1133</v>
      </c>
    </row>
    <row r="210" spans="2:3" ht="12.75" x14ac:dyDescent="0.2">
      <c r="B210" s="620" t="s">
        <v>338</v>
      </c>
      <c r="C210" s="620" t="s">
        <v>1133</v>
      </c>
    </row>
    <row r="211" spans="2:3" ht="12.75" x14ac:dyDescent="0.2">
      <c r="B211" s="620" t="s">
        <v>339</v>
      </c>
      <c r="C211" s="620" t="s">
        <v>1133</v>
      </c>
    </row>
    <row r="212" spans="2:3" ht="12.75" x14ac:dyDescent="0.2">
      <c r="B212" s="620" t="s">
        <v>340</v>
      </c>
      <c r="C212" s="620" t="s">
        <v>1133</v>
      </c>
    </row>
    <row r="213" spans="2:3" ht="12.75" x14ac:dyDescent="0.2">
      <c r="B213" s="620" t="s">
        <v>222</v>
      </c>
      <c r="C213" s="620" t="s">
        <v>1133</v>
      </c>
    </row>
    <row r="214" spans="2:3" ht="12.75" x14ac:dyDescent="0.2">
      <c r="B214" s="620" t="s">
        <v>341</v>
      </c>
      <c r="C214" s="620" t="s">
        <v>1133</v>
      </c>
    </row>
    <row r="215" spans="2:3" ht="12.75" x14ac:dyDescent="0.2">
      <c r="B215" s="620" t="s">
        <v>342</v>
      </c>
      <c r="C215" s="620" t="s">
        <v>1133</v>
      </c>
    </row>
    <row r="216" spans="2:3" ht="12.75" x14ac:dyDescent="0.2">
      <c r="B216" s="620" t="s">
        <v>343</v>
      </c>
      <c r="C216" s="620" t="s">
        <v>1133</v>
      </c>
    </row>
    <row r="217" spans="2:3" ht="12.75" x14ac:dyDescent="0.2">
      <c r="B217" s="620" t="s">
        <v>378</v>
      </c>
      <c r="C217" s="620" t="s">
        <v>1133</v>
      </c>
    </row>
    <row r="218" spans="2:3" ht="12.75" x14ac:dyDescent="0.2">
      <c r="B218" s="620" t="s">
        <v>379</v>
      </c>
      <c r="C218" s="620" t="s">
        <v>1133</v>
      </c>
    </row>
    <row r="219" spans="2:3" ht="12.75" x14ac:dyDescent="0.2">
      <c r="B219" s="620" t="s">
        <v>380</v>
      </c>
      <c r="C219" s="620" t="s">
        <v>1133</v>
      </c>
    </row>
    <row r="220" spans="2:3" ht="12.75" x14ac:dyDescent="0.2">
      <c r="B220" s="620" t="s">
        <v>381</v>
      </c>
      <c r="C220" s="620" t="s">
        <v>1133</v>
      </c>
    </row>
    <row r="221" spans="2:3" ht="12.75" x14ac:dyDescent="0.2">
      <c r="B221" s="620" t="s">
        <v>382</v>
      </c>
      <c r="C221" s="620" t="s">
        <v>1133</v>
      </c>
    </row>
    <row r="222" spans="2:3" ht="12.75" x14ac:dyDescent="0.2">
      <c r="B222" s="620" t="s">
        <v>1076</v>
      </c>
      <c r="C222" s="620" t="s">
        <v>1133</v>
      </c>
    </row>
    <row r="223" spans="2:3" ht="12.75" x14ac:dyDescent="0.2">
      <c r="B223" s="620" t="s">
        <v>383</v>
      </c>
      <c r="C223" s="620" t="s">
        <v>1133</v>
      </c>
    </row>
    <row r="224" spans="2:3" ht="12.75" x14ac:dyDescent="0.2">
      <c r="B224" s="620" t="s">
        <v>384</v>
      </c>
      <c r="C224" s="620" t="s">
        <v>1133</v>
      </c>
    </row>
    <row r="225" spans="2:3" ht="12.75" x14ac:dyDescent="0.2">
      <c r="B225" s="620" t="s">
        <v>385</v>
      </c>
      <c r="C225" s="620" t="s">
        <v>1133</v>
      </c>
    </row>
    <row r="226" spans="2:3" ht="12.75" x14ac:dyDescent="0.2">
      <c r="B226" s="620" t="s">
        <v>386</v>
      </c>
      <c r="C226" s="620" t="s">
        <v>1133</v>
      </c>
    </row>
    <row r="227" spans="2:3" ht="12.75" x14ac:dyDescent="0.2">
      <c r="B227" s="620" t="s">
        <v>1146</v>
      </c>
      <c r="C227" s="620" t="s">
        <v>1133</v>
      </c>
    </row>
    <row r="228" spans="2:3" ht="12.75" x14ac:dyDescent="0.2">
      <c r="B228" s="620" t="s">
        <v>1124</v>
      </c>
      <c r="C228" s="620" t="s">
        <v>1133</v>
      </c>
    </row>
    <row r="229" spans="2:3" ht="12.75" x14ac:dyDescent="0.2">
      <c r="B229" s="620" t="s">
        <v>387</v>
      </c>
      <c r="C229" s="620" t="s">
        <v>1133</v>
      </c>
    </row>
    <row r="230" spans="2:3" ht="12.75" x14ac:dyDescent="0.2">
      <c r="B230" s="620" t="s">
        <v>388</v>
      </c>
      <c r="C230" s="620" t="s">
        <v>1133</v>
      </c>
    </row>
    <row r="231" spans="2:3" ht="12.75" x14ac:dyDescent="0.2">
      <c r="B231" s="620" t="s">
        <v>389</v>
      </c>
      <c r="C231" s="620" t="s">
        <v>1133</v>
      </c>
    </row>
    <row r="232" spans="2:3" ht="12.75" x14ac:dyDescent="0.2">
      <c r="B232" s="620" t="s">
        <v>390</v>
      </c>
      <c r="C232" s="620" t="s">
        <v>1133</v>
      </c>
    </row>
    <row r="233" spans="2:3" ht="12.75" x14ac:dyDescent="0.2">
      <c r="B233" s="620" t="s">
        <v>223</v>
      </c>
      <c r="C233" s="620" t="s">
        <v>1133</v>
      </c>
    </row>
    <row r="234" spans="2:3" ht="12.75" x14ac:dyDescent="0.2">
      <c r="B234" s="620" t="s">
        <v>393</v>
      </c>
      <c r="C234" s="620" t="s">
        <v>1134</v>
      </c>
    </row>
    <row r="235" spans="2:3" ht="12.75" x14ac:dyDescent="0.2">
      <c r="B235" s="620" t="s">
        <v>394</v>
      </c>
      <c r="C235" s="620" t="s">
        <v>1134</v>
      </c>
    </row>
    <row r="236" spans="2:3" ht="12.75" x14ac:dyDescent="0.2">
      <c r="B236" s="620" t="s">
        <v>395</v>
      </c>
      <c r="C236" s="620" t="s">
        <v>1134</v>
      </c>
    </row>
    <row r="237" spans="2:3" ht="12.75" x14ac:dyDescent="0.2">
      <c r="B237" s="620" t="s">
        <v>396</v>
      </c>
      <c r="C237" s="620" t="s">
        <v>1134</v>
      </c>
    </row>
    <row r="238" spans="2:3" ht="12.75" x14ac:dyDescent="0.2">
      <c r="B238" s="620" t="s">
        <v>397</v>
      </c>
      <c r="C238" s="620" t="s">
        <v>1134</v>
      </c>
    </row>
    <row r="239" spans="2:3" ht="12.75" x14ac:dyDescent="0.2">
      <c r="B239" s="620" t="s">
        <v>213</v>
      </c>
      <c r="C239" s="620" t="s">
        <v>1134</v>
      </c>
    </row>
    <row r="240" spans="2:3" ht="12.75" x14ac:dyDescent="0.2">
      <c r="B240" s="620" t="s">
        <v>398</v>
      </c>
      <c r="C240" s="620" t="s">
        <v>1134</v>
      </c>
    </row>
    <row r="241" spans="2:3" ht="12.75" x14ac:dyDescent="0.2">
      <c r="B241" s="620" t="s">
        <v>399</v>
      </c>
      <c r="C241" s="620" t="s">
        <v>1134</v>
      </c>
    </row>
    <row r="242" spans="2:3" ht="12.75" x14ac:dyDescent="0.2">
      <c r="B242" s="620" t="s">
        <v>400</v>
      </c>
      <c r="C242" s="620" t="s">
        <v>1134</v>
      </c>
    </row>
    <row r="243" spans="2:3" ht="12.75" x14ac:dyDescent="0.2">
      <c r="B243" s="620" t="s">
        <v>401</v>
      </c>
      <c r="C243" s="620" t="s">
        <v>1134</v>
      </c>
    </row>
    <row r="244" spans="2:3" ht="12.75" x14ac:dyDescent="0.2">
      <c r="B244" s="620" t="s">
        <v>402</v>
      </c>
      <c r="C244" s="620" t="s">
        <v>1134</v>
      </c>
    </row>
    <row r="245" spans="2:3" ht="12.75" x14ac:dyDescent="0.2">
      <c r="B245" s="620" t="s">
        <v>214</v>
      </c>
      <c r="C245" s="620" t="s">
        <v>1134</v>
      </c>
    </row>
    <row r="246" spans="2:3" ht="12.75" x14ac:dyDescent="0.2">
      <c r="B246" s="620" t="s">
        <v>403</v>
      </c>
      <c r="C246" s="620" t="s">
        <v>1134</v>
      </c>
    </row>
    <row r="247" spans="2:3" ht="12.75" x14ac:dyDescent="0.2">
      <c r="B247" s="620" t="s">
        <v>404</v>
      </c>
      <c r="C247" s="620" t="s">
        <v>1134</v>
      </c>
    </row>
    <row r="248" spans="2:3" ht="12.75" x14ac:dyDescent="0.2">
      <c r="B248" s="620" t="s">
        <v>405</v>
      </c>
      <c r="C248" s="620" t="s">
        <v>1134</v>
      </c>
    </row>
    <row r="249" spans="2:3" ht="12.75" x14ac:dyDescent="0.2">
      <c r="B249" s="620" t="s">
        <v>406</v>
      </c>
      <c r="C249" s="620" t="s">
        <v>1134</v>
      </c>
    </row>
    <row r="250" spans="2:3" ht="12.75" x14ac:dyDescent="0.2">
      <c r="B250" s="620" t="s">
        <v>1125</v>
      </c>
      <c r="C250" s="620" t="s">
        <v>1134</v>
      </c>
    </row>
    <row r="251" spans="2:3" ht="12.75" x14ac:dyDescent="0.2">
      <c r="B251" s="620" t="s">
        <v>215</v>
      </c>
      <c r="C251" s="620" t="s">
        <v>1134</v>
      </c>
    </row>
    <row r="252" spans="2:3" ht="12.75" x14ac:dyDescent="0.2">
      <c r="B252" s="620" t="s">
        <v>407</v>
      </c>
      <c r="C252" s="620" t="s">
        <v>1134</v>
      </c>
    </row>
    <row r="253" spans="2:3" ht="12.75" x14ac:dyDescent="0.2">
      <c r="B253" s="620" t="s">
        <v>408</v>
      </c>
      <c r="C253" s="620" t="s">
        <v>1134</v>
      </c>
    </row>
    <row r="254" spans="2:3" ht="12.75" x14ac:dyDescent="0.2">
      <c r="B254" s="640" t="s">
        <v>1126</v>
      </c>
      <c r="C254" s="620" t="s">
        <v>1134</v>
      </c>
    </row>
    <row r="255" spans="2:3" ht="12.75" x14ac:dyDescent="0.2">
      <c r="B255" s="620" t="s">
        <v>217</v>
      </c>
      <c r="C255" s="620" t="s">
        <v>1134</v>
      </c>
    </row>
    <row r="256" spans="2:3" ht="12.75" x14ac:dyDescent="0.2">
      <c r="B256" s="620" t="s">
        <v>1089</v>
      </c>
      <c r="C256" s="620" t="s">
        <v>1135</v>
      </c>
    </row>
    <row r="257" spans="2:3" ht="12.75" x14ac:dyDescent="0.2">
      <c r="B257" s="620" t="s">
        <v>409</v>
      </c>
      <c r="C257" s="620" t="s">
        <v>1135</v>
      </c>
    </row>
    <row r="258" spans="2:3" ht="12.75" x14ac:dyDescent="0.2">
      <c r="B258" s="620" t="s">
        <v>410</v>
      </c>
      <c r="C258" s="620" t="s">
        <v>1135</v>
      </c>
    </row>
    <row r="259" spans="2:3" ht="12.75" x14ac:dyDescent="0.2">
      <c r="B259" s="620" t="s">
        <v>411</v>
      </c>
      <c r="C259" s="620" t="s">
        <v>1135</v>
      </c>
    </row>
    <row r="260" spans="2:3" ht="12.75" x14ac:dyDescent="0.2">
      <c r="B260" s="620" t="s">
        <v>412</v>
      </c>
      <c r="C260" s="620" t="s">
        <v>1135</v>
      </c>
    </row>
    <row r="261" spans="2:3" ht="12.75" x14ac:dyDescent="0.2">
      <c r="B261" s="620" t="s">
        <v>413</v>
      </c>
      <c r="C261" s="620" t="s">
        <v>1135</v>
      </c>
    </row>
    <row r="262" spans="2:3" ht="12.75" x14ac:dyDescent="0.2">
      <c r="B262" s="620" t="s">
        <v>189</v>
      </c>
      <c r="C262" s="620" t="s">
        <v>1135</v>
      </c>
    </row>
    <row r="263" spans="2:3" ht="12.75" x14ac:dyDescent="0.2">
      <c r="B263" s="620" t="s">
        <v>414</v>
      </c>
      <c r="C263" s="620" t="s">
        <v>1135</v>
      </c>
    </row>
    <row r="264" spans="2:3" ht="12.75" x14ac:dyDescent="0.2">
      <c r="B264" s="620" t="s">
        <v>415</v>
      </c>
      <c r="C264" s="620" t="s">
        <v>1135</v>
      </c>
    </row>
    <row r="265" spans="2:3" ht="12.75" x14ac:dyDescent="0.2">
      <c r="B265" s="620" t="s">
        <v>416</v>
      </c>
      <c r="C265" s="620" t="s">
        <v>1135</v>
      </c>
    </row>
    <row r="266" spans="2:3" ht="12.75" x14ac:dyDescent="0.2">
      <c r="B266" s="620" t="s">
        <v>417</v>
      </c>
      <c r="C266" s="620" t="s">
        <v>1135</v>
      </c>
    </row>
    <row r="267" spans="2:3" ht="12.75" x14ac:dyDescent="0.2">
      <c r="B267" s="620" t="s">
        <v>1000</v>
      </c>
      <c r="C267" s="620" t="s">
        <v>1135</v>
      </c>
    </row>
    <row r="268" spans="2:3" ht="12.75" x14ac:dyDescent="0.2">
      <c r="B268" s="620" t="s">
        <v>1074</v>
      </c>
      <c r="C268" s="620" t="s">
        <v>1135</v>
      </c>
    </row>
    <row r="269" spans="2:3" ht="12.75" x14ac:dyDescent="0.2">
      <c r="B269" s="620" t="s">
        <v>418</v>
      </c>
      <c r="C269" s="620" t="s">
        <v>1135</v>
      </c>
    </row>
    <row r="270" spans="2:3" ht="12.75" x14ac:dyDescent="0.2">
      <c r="B270" s="620" t="s">
        <v>419</v>
      </c>
      <c r="C270" s="620" t="s">
        <v>1135</v>
      </c>
    </row>
    <row r="271" spans="2:3" ht="12.75" x14ac:dyDescent="0.2">
      <c r="B271" s="620" t="s">
        <v>420</v>
      </c>
      <c r="C271" s="620" t="s">
        <v>1135</v>
      </c>
    </row>
    <row r="272" spans="2:3" ht="12.75" x14ac:dyDescent="0.2">
      <c r="B272" s="620" t="s">
        <v>421</v>
      </c>
      <c r="C272" s="620" t="s">
        <v>1135</v>
      </c>
    </row>
    <row r="273" spans="2:3" ht="12.75" x14ac:dyDescent="0.2">
      <c r="B273" s="620" t="s">
        <v>205</v>
      </c>
      <c r="C273" s="620" t="s">
        <v>1135</v>
      </c>
    </row>
    <row r="274" spans="2:3" ht="12.75" x14ac:dyDescent="0.2">
      <c r="B274" s="620" t="s">
        <v>422</v>
      </c>
      <c r="C274" s="620" t="s">
        <v>1135</v>
      </c>
    </row>
    <row r="275" spans="2:3" ht="12.75" x14ac:dyDescent="0.2">
      <c r="B275" s="620" t="s">
        <v>423</v>
      </c>
      <c r="C275" s="620" t="s">
        <v>1135</v>
      </c>
    </row>
    <row r="276" spans="2:3" ht="12.75" x14ac:dyDescent="0.2">
      <c r="B276" s="620" t="s">
        <v>424</v>
      </c>
      <c r="C276" s="620" t="s">
        <v>1135</v>
      </c>
    </row>
    <row r="277" spans="2:3" ht="12.75" x14ac:dyDescent="0.2">
      <c r="B277" s="620" t="s">
        <v>425</v>
      </c>
      <c r="C277" s="620" t="s">
        <v>1135</v>
      </c>
    </row>
    <row r="278" spans="2:3" ht="12.75" x14ac:dyDescent="0.2">
      <c r="B278" s="620" t="s">
        <v>426</v>
      </c>
      <c r="C278" s="620" t="s">
        <v>1135</v>
      </c>
    </row>
    <row r="279" spans="2:3" ht="12.75" x14ac:dyDescent="0.2">
      <c r="B279" s="620" t="s">
        <v>427</v>
      </c>
      <c r="C279" s="620" t="s">
        <v>1135</v>
      </c>
    </row>
    <row r="280" spans="2:3" ht="12.75" x14ac:dyDescent="0.2">
      <c r="B280" s="620" t="s">
        <v>428</v>
      </c>
      <c r="C280" s="620" t="s">
        <v>1135</v>
      </c>
    </row>
    <row r="281" spans="2:3" ht="12.75" x14ac:dyDescent="0.2">
      <c r="B281" s="620" t="s">
        <v>216</v>
      </c>
      <c r="C281" s="620" t="s">
        <v>1135</v>
      </c>
    </row>
    <row r="282" spans="2:3" ht="12.75" x14ac:dyDescent="0.2">
      <c r="B282" s="620" t="s">
        <v>429</v>
      </c>
      <c r="C282" s="620" t="s">
        <v>1135</v>
      </c>
    </row>
    <row r="283" spans="2:3" ht="12.75" x14ac:dyDescent="0.2">
      <c r="B283" s="620" t="s">
        <v>430</v>
      </c>
      <c r="C283" s="620" t="s">
        <v>1135</v>
      </c>
    </row>
    <row r="284" spans="2:3" ht="12.75" x14ac:dyDescent="0.2">
      <c r="B284" s="620" t="s">
        <v>431</v>
      </c>
      <c r="C284" s="620" t="s">
        <v>1135</v>
      </c>
    </row>
    <row r="285" spans="2:3" ht="12.75" x14ac:dyDescent="0.2">
      <c r="B285" s="620" t="s">
        <v>221</v>
      </c>
      <c r="C285" s="620" t="s">
        <v>1135</v>
      </c>
    </row>
    <row r="286" spans="2:3" ht="12.75" x14ac:dyDescent="0.2">
      <c r="B286" s="620"/>
      <c r="C286" s="620"/>
    </row>
    <row r="287" spans="2:3" ht="12.75" x14ac:dyDescent="0.2">
      <c r="B287" s="620"/>
      <c r="C287" s="620"/>
    </row>
    <row r="288" spans="2:3" ht="12.75" x14ac:dyDescent="0.2">
      <c r="B288" s="620"/>
      <c r="C288" s="620"/>
    </row>
    <row r="289" spans="2:3" ht="12.75" x14ac:dyDescent="0.2">
      <c r="B289" s="620"/>
      <c r="C289" s="620"/>
    </row>
    <row r="290" spans="2:3" ht="12.75" x14ac:dyDescent="0.2">
      <c r="B290" s="620"/>
      <c r="C290" s="620"/>
    </row>
    <row r="291" spans="2:3" ht="12.75" x14ac:dyDescent="0.2">
      <c r="B291" s="620"/>
      <c r="C291" s="620"/>
    </row>
    <row r="292" spans="2:3" ht="12.75" x14ac:dyDescent="0.2">
      <c r="B292" s="620"/>
      <c r="C292" s="620"/>
    </row>
    <row r="293" spans="2:3" ht="12.75" x14ac:dyDescent="0.2">
      <c r="B293" s="620"/>
      <c r="C293" s="620"/>
    </row>
    <row r="294" spans="2:3" ht="12.75" x14ac:dyDescent="0.2">
      <c r="B294" s="620"/>
      <c r="C294" s="620"/>
    </row>
    <row r="295" spans="2:3" ht="12.75" x14ac:dyDescent="0.2">
      <c r="B295" s="620"/>
      <c r="C295" s="620"/>
    </row>
    <row r="296" spans="2:3" ht="12.75" x14ac:dyDescent="0.2">
      <c r="B296" s="620"/>
      <c r="C296" s="620"/>
    </row>
    <row r="297" spans="2:3" ht="12.75" x14ac:dyDescent="0.2">
      <c r="B297" s="620"/>
      <c r="C297" s="620"/>
    </row>
    <row r="298" spans="2:3" ht="12.75" x14ac:dyDescent="0.2">
      <c r="B298" s="620"/>
      <c r="C298" s="620"/>
    </row>
    <row r="299" spans="2:3" ht="12.75" x14ac:dyDescent="0.2">
      <c r="B299" s="620"/>
      <c r="C299" s="620"/>
    </row>
    <row r="300" spans="2:3" ht="12.75" x14ac:dyDescent="0.2">
      <c r="B300" s="620"/>
      <c r="C300" s="620"/>
    </row>
    <row r="301" spans="2:3" ht="12.75" x14ac:dyDescent="0.2">
      <c r="B301" s="620"/>
      <c r="C301" s="620"/>
    </row>
    <row r="302" spans="2:3" ht="12.75" x14ac:dyDescent="0.2">
      <c r="B302" s="620"/>
      <c r="C302" s="620"/>
    </row>
    <row r="303" spans="2:3" ht="12.75" x14ac:dyDescent="0.2">
      <c r="B303" s="620"/>
      <c r="C303" s="620"/>
    </row>
    <row r="304" spans="2:3" ht="12.75" x14ac:dyDescent="0.2">
      <c r="B304" s="620"/>
      <c r="C304" s="620"/>
    </row>
    <row r="305" spans="2:3" ht="12.75" x14ac:dyDescent="0.2">
      <c r="B305" s="620"/>
      <c r="C305" s="620"/>
    </row>
    <row r="306" spans="2:3" ht="12.75" x14ac:dyDescent="0.2">
      <c r="B306" s="620"/>
      <c r="C306" s="620"/>
    </row>
    <row r="307" spans="2:3" x14ac:dyDescent="0.2">
      <c r="C307" s="343">
        <f>COUNTA(C29:C306)</f>
        <v>257</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tabColor indexed="44"/>
    <pageSetUpPr fitToPage="1"/>
  </sheetPr>
  <dimension ref="A1:E166"/>
  <sheetViews>
    <sheetView showGridLines="0" view="pageBreakPreview" zoomScaleNormal="100" zoomScaleSheetLayoutView="100" workbookViewId="0">
      <selection activeCell="F1" sqref="F1"/>
    </sheetView>
  </sheetViews>
  <sheetFormatPr defaultColWidth="9.140625" defaultRowHeight="11.25" x14ac:dyDescent="0.2"/>
  <cols>
    <col min="1" max="1" width="37.5703125" style="556" customWidth="1"/>
    <col min="2" max="2" width="7.7109375" style="558" customWidth="1"/>
    <col min="3" max="3" width="47.85546875" style="557" customWidth="1"/>
    <col min="4" max="4" width="20" style="556" hidden="1" customWidth="1"/>
    <col min="5" max="5" width="43.42578125" style="556" customWidth="1"/>
    <col min="6" max="16384" width="9.140625" style="556"/>
  </cols>
  <sheetData>
    <row r="1" spans="1:5" ht="35.25" customHeight="1" x14ac:dyDescent="0.2">
      <c r="A1" s="566" t="s">
        <v>1060</v>
      </c>
      <c r="B1" s="568"/>
      <c r="C1" s="567" t="s">
        <v>1059</v>
      </c>
      <c r="E1" s="566" t="s">
        <v>1058</v>
      </c>
    </row>
    <row r="2" spans="1:5" x14ac:dyDescent="0.2">
      <c r="A2" s="556" t="str">
        <f>B2&amp;" - "&amp;C2</f>
        <v>Vote 1 - Council General</v>
      </c>
      <c r="B2" s="564" t="s">
        <v>826</v>
      </c>
      <c r="C2" s="562" t="s">
        <v>1368</v>
      </c>
      <c r="E2" s="565"/>
    </row>
    <row r="3" spans="1:5" x14ac:dyDescent="0.2">
      <c r="A3" s="556" t="str">
        <f>B13&amp;" - "&amp; C13</f>
        <v>Vote 2 - Municipal Manager</v>
      </c>
      <c r="B3" s="561">
        <v>1.1000000000000001</v>
      </c>
      <c r="C3" s="560" t="s">
        <v>1369</v>
      </c>
      <c r="D3" s="556" t="str">
        <f t="shared" ref="D3:D12" si="0">CONCATENATE(B3, " - ", C3)</f>
        <v>1.1 - Admin</v>
      </c>
      <c r="E3" s="559" t="s">
        <v>1403</v>
      </c>
    </row>
    <row r="4" spans="1:5" x14ac:dyDescent="0.2">
      <c r="A4" s="556" t="str">
        <f>B24&amp;" - "&amp;C24</f>
        <v>Vote 3 - Strategic Support Services</v>
      </c>
      <c r="B4" s="561">
        <v>1.2</v>
      </c>
      <c r="C4" s="560" t="s">
        <v>1370</v>
      </c>
      <c r="D4" s="556" t="str">
        <f t="shared" si="0"/>
        <v>1.2 - Mayoral Office</v>
      </c>
      <c r="E4" s="559" t="s">
        <v>1404</v>
      </c>
    </row>
    <row r="5" spans="1:5" x14ac:dyDescent="0.2">
      <c r="A5" s="556" t="str">
        <f>B35&amp;" - "&amp;C35</f>
        <v>Vote 4 - Financial Services</v>
      </c>
      <c r="B5" s="561">
        <v>1.3</v>
      </c>
      <c r="C5" s="560" t="s">
        <v>511</v>
      </c>
      <c r="D5" s="556" t="str">
        <f t="shared" si="0"/>
        <v xml:space="preserve">1.3 -  </v>
      </c>
      <c r="E5" s="559"/>
    </row>
    <row r="6" spans="1:5" x14ac:dyDescent="0.2">
      <c r="A6" s="556" t="str">
        <f>B46&amp;" - "&amp;C46</f>
        <v>Vote 5 - Community Services</v>
      </c>
      <c r="B6" s="561">
        <v>1.4</v>
      </c>
      <c r="C6" s="560" t="s">
        <v>511</v>
      </c>
      <c r="D6" s="556" t="str">
        <f t="shared" si="0"/>
        <v xml:space="preserve">1.4 -  </v>
      </c>
      <c r="E6" s="559"/>
    </row>
    <row r="7" spans="1:5" x14ac:dyDescent="0.2">
      <c r="A7" s="556" t="str">
        <f>B57&amp;" - "&amp;C57</f>
        <v>Vote 6 - Technical Services</v>
      </c>
      <c r="B7" s="561">
        <v>1.5</v>
      </c>
      <c r="C7" s="560" t="s">
        <v>511</v>
      </c>
      <c r="D7" s="556" t="str">
        <f t="shared" si="0"/>
        <v xml:space="preserve">1.5 -  </v>
      </c>
      <c r="E7" s="559"/>
    </row>
    <row r="8" spans="1:5" x14ac:dyDescent="0.2">
      <c r="A8" s="556" t="str">
        <f>B68&amp;" - "&amp;C68</f>
        <v>Vote 7 - [NAME OF VOTE 7]</v>
      </c>
      <c r="B8" s="561">
        <v>1.6</v>
      </c>
      <c r="C8" s="560" t="s">
        <v>511</v>
      </c>
      <c r="D8" s="556" t="str">
        <f t="shared" si="0"/>
        <v xml:space="preserve">1.6 -  </v>
      </c>
      <c r="E8" s="559"/>
    </row>
    <row r="9" spans="1:5" x14ac:dyDescent="0.2">
      <c r="A9" s="556" t="str">
        <f>B79&amp;" - "&amp;C79</f>
        <v>Vote 8 - [NAME OF VOTE 8]</v>
      </c>
      <c r="B9" s="561">
        <v>1.7</v>
      </c>
      <c r="C9" s="560"/>
      <c r="D9" s="556" t="str">
        <f t="shared" si="0"/>
        <v xml:space="preserve">1.7 - </v>
      </c>
      <c r="E9" s="559"/>
    </row>
    <row r="10" spans="1:5" x14ac:dyDescent="0.2">
      <c r="A10" s="556" t="str">
        <f>B90&amp;" - "&amp;C90</f>
        <v>Vote 9 - [NAME OF VOTE 9]</v>
      </c>
      <c r="B10" s="561">
        <v>1.8</v>
      </c>
      <c r="C10" s="560"/>
      <c r="D10" s="556" t="str">
        <f t="shared" si="0"/>
        <v xml:space="preserve">1.8 - </v>
      </c>
      <c r="E10" s="559"/>
    </row>
    <row r="11" spans="1:5" x14ac:dyDescent="0.2">
      <c r="A11" s="556" t="str">
        <f>B101&amp;" - "&amp;C101</f>
        <v>Vote 10 - [NAME OF VOTE 10]</v>
      </c>
      <c r="B11" s="561">
        <v>1.9</v>
      </c>
      <c r="C11" s="560" t="s">
        <v>511</v>
      </c>
      <c r="D11" s="556" t="str">
        <f t="shared" si="0"/>
        <v xml:space="preserve">1.9 -  </v>
      </c>
      <c r="E11" s="559"/>
    </row>
    <row r="12" spans="1:5" x14ac:dyDescent="0.2">
      <c r="A12" s="556" t="str">
        <f>B112&amp;" - "&amp;C112</f>
        <v>Vote 11 - [NAME OF VOTE 11]</v>
      </c>
      <c r="B12" s="561" t="s">
        <v>1057</v>
      </c>
      <c r="C12" s="560" t="s">
        <v>511</v>
      </c>
      <c r="D12" s="556" t="str">
        <f t="shared" si="0"/>
        <v xml:space="preserve">1.10 -  </v>
      </c>
      <c r="E12" s="559"/>
    </row>
    <row r="13" spans="1:5" x14ac:dyDescent="0.2">
      <c r="A13" s="556" t="str">
        <f>B123&amp;" - "&amp;C123</f>
        <v>Vote 12 - [NAME OF VOTE 12]</v>
      </c>
      <c r="B13" s="564" t="s">
        <v>825</v>
      </c>
      <c r="C13" s="562" t="s">
        <v>1371</v>
      </c>
      <c r="E13" s="565"/>
    </row>
    <row r="14" spans="1:5" x14ac:dyDescent="0.2">
      <c r="A14" s="556" t="str">
        <f>B134&amp;" - "&amp;C134</f>
        <v>Vote 13 - [NAME OF VOTE 13]</v>
      </c>
      <c r="B14" s="561">
        <v>2.1</v>
      </c>
      <c r="C14" s="560" t="s">
        <v>1372</v>
      </c>
      <c r="D14" s="556" t="str">
        <f t="shared" ref="D14:D23" si="1">CONCATENATE(B14, " - ", C14)</f>
        <v>2.1 - Office Support</v>
      </c>
      <c r="E14" s="559" t="s">
        <v>1405</v>
      </c>
    </row>
    <row r="15" spans="1:5" x14ac:dyDescent="0.2">
      <c r="A15" s="556" t="str">
        <f>B145&amp;" - "&amp;C145</f>
        <v>Vote 14 - [NAME OF VOTE 14]</v>
      </c>
      <c r="B15" s="561">
        <v>2.2000000000000002</v>
      </c>
      <c r="C15" s="560" t="s">
        <v>1373</v>
      </c>
      <c r="D15" s="556" t="str">
        <f t="shared" si="1"/>
        <v>2.2 - Internal Audit</v>
      </c>
      <c r="E15" s="559" t="s">
        <v>1406</v>
      </c>
    </row>
    <row r="16" spans="1:5" x14ac:dyDescent="0.2">
      <c r="A16" s="556" t="str">
        <f>B156&amp;" - "&amp;C156</f>
        <v>Vote 15 - [NAME OF VOTE 15]</v>
      </c>
      <c r="B16" s="561">
        <v>2.2999999999999998</v>
      </c>
      <c r="C16" s="560" t="s">
        <v>1374</v>
      </c>
      <c r="D16" s="556" t="str">
        <f t="shared" si="1"/>
        <v>2.3 - Project Management</v>
      </c>
      <c r="E16" s="559" t="s">
        <v>1407</v>
      </c>
    </row>
    <row r="17" spans="1:5" x14ac:dyDescent="0.2">
      <c r="B17" s="561">
        <v>2.4</v>
      </c>
      <c r="C17" s="560" t="s">
        <v>1375</v>
      </c>
      <c r="D17" s="556" t="str">
        <f t="shared" si="1"/>
        <v>2.4 - Ombudsman</v>
      </c>
      <c r="E17" s="559" t="s">
        <v>1408</v>
      </c>
    </row>
    <row r="18" spans="1:5" x14ac:dyDescent="0.2">
      <c r="B18" s="561">
        <v>2.5</v>
      </c>
      <c r="C18" s="560" t="s">
        <v>1376</v>
      </c>
      <c r="D18" s="556" t="str">
        <f t="shared" si="1"/>
        <v>2.5 - Enterprise Risk Management</v>
      </c>
      <c r="E18" s="559" t="s">
        <v>1409</v>
      </c>
    </row>
    <row r="19" spans="1:5" x14ac:dyDescent="0.2">
      <c r="B19" s="561">
        <v>2.6</v>
      </c>
      <c r="C19" s="560" t="s">
        <v>1377</v>
      </c>
      <c r="D19" s="556" t="str">
        <f t="shared" si="1"/>
        <v>2.6 - Jobs4U</v>
      </c>
      <c r="E19" s="559" t="s">
        <v>1410</v>
      </c>
    </row>
    <row r="20" spans="1:5" x14ac:dyDescent="0.2">
      <c r="B20" s="561">
        <v>2.7</v>
      </c>
      <c r="C20" s="560"/>
      <c r="D20" s="556" t="str">
        <f t="shared" si="1"/>
        <v xml:space="preserve">2.7 - </v>
      </c>
      <c r="E20" s="559"/>
    </row>
    <row r="21" spans="1:5" x14ac:dyDescent="0.2">
      <c r="A21" s="565"/>
      <c r="B21" s="561">
        <v>2.8</v>
      </c>
      <c r="C21" s="560"/>
      <c r="D21" s="556" t="str">
        <f t="shared" si="1"/>
        <v xml:space="preserve">2.8 - </v>
      </c>
      <c r="E21" s="559"/>
    </row>
    <row r="22" spans="1:5" x14ac:dyDescent="0.2">
      <c r="B22" s="561">
        <v>2.9</v>
      </c>
      <c r="C22" s="560"/>
      <c r="D22" s="556" t="str">
        <f t="shared" si="1"/>
        <v xml:space="preserve">2.9 - </v>
      </c>
      <c r="E22" s="559"/>
    </row>
    <row r="23" spans="1:5" x14ac:dyDescent="0.2">
      <c r="B23" s="561" t="s">
        <v>1056</v>
      </c>
      <c r="C23" s="560" t="s">
        <v>511</v>
      </c>
      <c r="D23" s="556" t="str">
        <f t="shared" si="1"/>
        <v xml:space="preserve">2.10 -  </v>
      </c>
      <c r="E23" s="559"/>
    </row>
    <row r="24" spans="1:5" x14ac:dyDescent="0.2">
      <c r="B24" s="564" t="s">
        <v>824</v>
      </c>
      <c r="C24" s="562" t="s">
        <v>1378</v>
      </c>
      <c r="E24" s="559"/>
    </row>
    <row r="25" spans="1:5" x14ac:dyDescent="0.2">
      <c r="B25" s="561">
        <v>3.1</v>
      </c>
      <c r="C25" s="560" t="s">
        <v>1379</v>
      </c>
      <c r="D25" s="556" t="str">
        <f t="shared" ref="D25:D34" si="2">CONCATENATE(B25, " - ", C25)</f>
        <v>3.1 - Administration &amp; Support Services</v>
      </c>
      <c r="E25" s="559" t="s">
        <v>1411</v>
      </c>
    </row>
    <row r="26" spans="1:5" x14ac:dyDescent="0.2">
      <c r="B26" s="561">
        <v>3.2</v>
      </c>
      <c r="C26" s="560" t="s">
        <v>165</v>
      </c>
      <c r="D26" s="556" t="str">
        <f t="shared" si="2"/>
        <v>3.2 - Human Resources</v>
      </c>
      <c r="E26" s="559" t="s">
        <v>1412</v>
      </c>
    </row>
    <row r="27" spans="1:5" x14ac:dyDescent="0.2">
      <c r="B27" s="561">
        <v>3.3</v>
      </c>
      <c r="C27" s="560" t="s">
        <v>1380</v>
      </c>
      <c r="D27" s="556" t="str">
        <f t="shared" si="2"/>
        <v>3.3 - Information Communication Technology</v>
      </c>
      <c r="E27" s="559" t="s">
        <v>1413</v>
      </c>
    </row>
    <row r="28" spans="1:5" x14ac:dyDescent="0.2">
      <c r="B28" s="561">
        <v>3.4</v>
      </c>
      <c r="C28" s="560" t="s">
        <v>1381</v>
      </c>
      <c r="D28" s="556" t="str">
        <f t="shared" si="2"/>
        <v>3.4 - IDP/ PMS/ SDBIP</v>
      </c>
      <c r="E28" s="559" t="s">
        <v>1414</v>
      </c>
    </row>
    <row r="29" spans="1:5" x14ac:dyDescent="0.2">
      <c r="B29" s="561">
        <v>3.5</v>
      </c>
      <c r="C29" s="560" t="s">
        <v>1382</v>
      </c>
      <c r="D29" s="556" t="str">
        <f t="shared" si="2"/>
        <v>3.5 - Communications &amp; Media Relations</v>
      </c>
      <c r="E29" s="559" t="s">
        <v>1415</v>
      </c>
    </row>
    <row r="30" spans="1:5" x14ac:dyDescent="0.2">
      <c r="B30" s="561">
        <v>3.6</v>
      </c>
      <c r="C30" s="560" t="s">
        <v>1383</v>
      </c>
      <c r="D30" s="556" t="str">
        <f t="shared" si="2"/>
        <v>3.6 - Local Economic Development</v>
      </c>
      <c r="E30" s="559" t="s">
        <v>1416</v>
      </c>
    </row>
    <row r="31" spans="1:5" x14ac:dyDescent="0.2">
      <c r="B31" s="561">
        <v>3.7</v>
      </c>
      <c r="C31" s="560" t="s">
        <v>1162</v>
      </c>
      <c r="D31" s="556" t="str">
        <f t="shared" si="2"/>
        <v>3.7 - Legal Services</v>
      </c>
      <c r="E31" s="559" t="s">
        <v>1417</v>
      </c>
    </row>
    <row r="32" spans="1:5" x14ac:dyDescent="0.2">
      <c r="B32" s="561">
        <v>3.8</v>
      </c>
      <c r="C32" s="560"/>
      <c r="D32" s="556" t="str">
        <f t="shared" si="2"/>
        <v xml:space="preserve">3.8 - </v>
      </c>
      <c r="E32" s="559"/>
    </row>
    <row r="33" spans="2:5" x14ac:dyDescent="0.2">
      <c r="B33" s="561">
        <v>3.9</v>
      </c>
      <c r="C33" s="560" t="s">
        <v>511</v>
      </c>
      <c r="D33" s="556" t="str">
        <f t="shared" si="2"/>
        <v xml:space="preserve">3.9 -  </v>
      </c>
      <c r="E33" s="559"/>
    </row>
    <row r="34" spans="2:5" x14ac:dyDescent="0.2">
      <c r="B34" s="561" t="s">
        <v>1055</v>
      </c>
      <c r="C34" s="560" t="s">
        <v>511</v>
      </c>
      <c r="D34" s="556" t="str">
        <f t="shared" si="2"/>
        <v xml:space="preserve">3.10 -  </v>
      </c>
      <c r="E34" s="559"/>
    </row>
    <row r="35" spans="2:5" x14ac:dyDescent="0.2">
      <c r="B35" s="564" t="s">
        <v>823</v>
      </c>
      <c r="C35" s="562" t="s">
        <v>1384</v>
      </c>
      <c r="E35" s="559"/>
    </row>
    <row r="36" spans="2:5" x14ac:dyDescent="0.2">
      <c r="B36" s="561">
        <v>4.0999999999999996</v>
      </c>
      <c r="C36" s="560" t="s">
        <v>1385</v>
      </c>
      <c r="D36" s="556" t="str">
        <f t="shared" ref="D36:D45" si="3">CONCATENATE(B36, " - ", C36)</f>
        <v>4.1 - Administration</v>
      </c>
      <c r="E36" s="559" t="s">
        <v>1418</v>
      </c>
    </row>
    <row r="37" spans="2:5" x14ac:dyDescent="0.2">
      <c r="B37" s="561">
        <v>4.2</v>
      </c>
      <c r="C37" s="560" t="s">
        <v>1386</v>
      </c>
      <c r="D37" s="556" t="str">
        <f t="shared" si="3"/>
        <v>4.2 - Revenue</v>
      </c>
      <c r="E37" s="559" t="s">
        <v>1419</v>
      </c>
    </row>
    <row r="38" spans="2:5" x14ac:dyDescent="0.2">
      <c r="B38" s="561">
        <v>4.3</v>
      </c>
      <c r="C38" s="560" t="s">
        <v>1387</v>
      </c>
      <c r="D38" s="556" t="str">
        <f t="shared" si="3"/>
        <v>4.3 - Financial Planning</v>
      </c>
      <c r="E38" s="559" t="s">
        <v>1420</v>
      </c>
    </row>
    <row r="39" spans="2:5" x14ac:dyDescent="0.2">
      <c r="B39" s="561">
        <v>4.4000000000000004</v>
      </c>
      <c r="C39" s="560" t="s">
        <v>1388</v>
      </c>
      <c r="D39" s="556" t="str">
        <f t="shared" si="3"/>
        <v>4.4 - Supply Chain Management</v>
      </c>
      <c r="E39" s="559" t="s">
        <v>1421</v>
      </c>
    </row>
    <row r="40" spans="2:5" x14ac:dyDescent="0.2">
      <c r="B40" s="561">
        <v>4.5</v>
      </c>
      <c r="C40" s="560"/>
      <c r="D40" s="556" t="str">
        <f t="shared" si="3"/>
        <v xml:space="preserve">4.5 - </v>
      </c>
      <c r="E40" s="559"/>
    </row>
    <row r="41" spans="2:5" x14ac:dyDescent="0.2">
      <c r="B41" s="561">
        <v>4.5999999999999996</v>
      </c>
      <c r="C41" s="560" t="s">
        <v>511</v>
      </c>
      <c r="D41" s="556" t="str">
        <f t="shared" si="3"/>
        <v xml:space="preserve">4.6 -  </v>
      </c>
      <c r="E41" s="559"/>
    </row>
    <row r="42" spans="2:5" x14ac:dyDescent="0.2">
      <c r="B42" s="561">
        <v>4.7</v>
      </c>
      <c r="C42" s="560" t="s">
        <v>511</v>
      </c>
      <c r="D42" s="556" t="str">
        <f t="shared" si="3"/>
        <v xml:space="preserve">4.7 -  </v>
      </c>
      <c r="E42" s="559"/>
    </row>
    <row r="43" spans="2:5" x14ac:dyDescent="0.2">
      <c r="B43" s="561">
        <v>4.8</v>
      </c>
      <c r="C43" s="560" t="s">
        <v>511</v>
      </c>
      <c r="D43" s="556" t="str">
        <f t="shared" si="3"/>
        <v xml:space="preserve">4.8 -  </v>
      </c>
      <c r="E43" s="559"/>
    </row>
    <row r="44" spans="2:5" x14ac:dyDescent="0.2">
      <c r="B44" s="561">
        <v>4.9000000000000004</v>
      </c>
      <c r="C44" s="560"/>
      <c r="D44" s="556" t="str">
        <f t="shared" si="3"/>
        <v xml:space="preserve">4.9 - </v>
      </c>
      <c r="E44" s="559"/>
    </row>
    <row r="45" spans="2:5" x14ac:dyDescent="0.2">
      <c r="B45" s="561" t="s">
        <v>1054</v>
      </c>
      <c r="C45" s="560" t="s">
        <v>511</v>
      </c>
      <c r="D45" s="556" t="str">
        <f t="shared" si="3"/>
        <v xml:space="preserve">4.10 -  </v>
      </c>
      <c r="E45" s="559"/>
    </row>
    <row r="46" spans="2:5" x14ac:dyDescent="0.2">
      <c r="B46" s="564" t="s">
        <v>822</v>
      </c>
      <c r="C46" s="562" t="s">
        <v>1389</v>
      </c>
      <c r="E46" s="559"/>
    </row>
    <row r="47" spans="2:5" x14ac:dyDescent="0.2">
      <c r="B47" s="561">
        <v>5.0999999999999996</v>
      </c>
      <c r="C47" s="560" t="s">
        <v>1379</v>
      </c>
      <c r="D47" s="556" t="str">
        <f t="shared" ref="D47:D56" si="4">CONCATENATE(B47, " - ", C47)</f>
        <v>5.1 - Administration &amp; Support Services</v>
      </c>
      <c r="E47" s="559" t="s">
        <v>1422</v>
      </c>
    </row>
    <row r="48" spans="2:5" x14ac:dyDescent="0.2">
      <c r="B48" s="561">
        <v>5.2</v>
      </c>
      <c r="C48" s="560" t="s">
        <v>1390</v>
      </c>
      <c r="D48" s="556" t="str">
        <f t="shared" si="4"/>
        <v>5.2 - Human Settlements &amp; Housing</v>
      </c>
      <c r="E48" s="559" t="s">
        <v>1423</v>
      </c>
    </row>
    <row r="49" spans="2:5" x14ac:dyDescent="0.2">
      <c r="B49" s="561">
        <v>5.3</v>
      </c>
      <c r="C49" s="560" t="s">
        <v>564</v>
      </c>
      <c r="D49" s="556" t="str">
        <f t="shared" si="4"/>
        <v>5.3 - Libraries</v>
      </c>
      <c r="E49" s="559" t="s">
        <v>1424</v>
      </c>
    </row>
    <row r="50" spans="2:5" x14ac:dyDescent="0.2">
      <c r="B50" s="561">
        <v>5.4</v>
      </c>
      <c r="C50" s="560" t="s">
        <v>1391</v>
      </c>
      <c r="D50" s="556" t="str">
        <f t="shared" si="4"/>
        <v>5.4 - Fire Brigade &amp; Disaster Risk Management</v>
      </c>
      <c r="E50" s="559" t="s">
        <v>1425</v>
      </c>
    </row>
    <row r="51" spans="2:5" x14ac:dyDescent="0.2">
      <c r="B51" s="561">
        <v>5.5</v>
      </c>
      <c r="C51" s="560" t="s">
        <v>1392</v>
      </c>
      <c r="D51" s="556" t="str">
        <f t="shared" si="4"/>
        <v>5.5 - Traffic Services</v>
      </c>
      <c r="E51" s="559" t="s">
        <v>1426</v>
      </c>
    </row>
    <row r="52" spans="2:5" x14ac:dyDescent="0.2">
      <c r="B52" s="561">
        <v>5.6</v>
      </c>
      <c r="C52" s="560" t="s">
        <v>1393</v>
      </c>
      <c r="D52" s="556" t="str">
        <f t="shared" si="4"/>
        <v>5.6 - Municipal Halls and Resorts</v>
      </c>
      <c r="E52" s="559" t="s">
        <v>1427</v>
      </c>
    </row>
    <row r="53" spans="2:5" x14ac:dyDescent="0.2">
      <c r="B53" s="561">
        <v>5.7</v>
      </c>
      <c r="C53" s="560" t="s">
        <v>1394</v>
      </c>
      <c r="D53" s="556" t="str">
        <f t="shared" si="4"/>
        <v>5.7 - Customer Care Services</v>
      </c>
      <c r="E53" s="559" t="s">
        <v>1428</v>
      </c>
    </row>
    <row r="54" spans="2:5" x14ac:dyDescent="0.2">
      <c r="B54" s="561">
        <v>5.8</v>
      </c>
      <c r="C54" s="560" t="s">
        <v>1395</v>
      </c>
      <c r="D54" s="556" t="str">
        <f t="shared" si="4"/>
        <v>5.8 - Sports and Recreation</v>
      </c>
      <c r="E54" s="559" t="s">
        <v>1429</v>
      </c>
    </row>
    <row r="55" spans="2:5" x14ac:dyDescent="0.2">
      <c r="B55" s="561">
        <v>5.9</v>
      </c>
      <c r="C55" s="560" t="s">
        <v>621</v>
      </c>
      <c r="D55" s="556" t="str">
        <f t="shared" si="4"/>
        <v>5.9 - Health</v>
      </c>
      <c r="E55" s="559" t="s">
        <v>1430</v>
      </c>
    </row>
    <row r="56" spans="2:5" x14ac:dyDescent="0.2">
      <c r="B56" s="561" t="s">
        <v>1053</v>
      </c>
      <c r="C56" s="560" t="s">
        <v>511</v>
      </c>
      <c r="D56" s="556" t="str">
        <f t="shared" si="4"/>
        <v xml:space="preserve">5.10 -  </v>
      </c>
      <c r="E56" s="559"/>
    </row>
    <row r="57" spans="2:5" x14ac:dyDescent="0.2">
      <c r="B57" s="564" t="s">
        <v>821</v>
      </c>
      <c r="C57" s="562" t="s">
        <v>1396</v>
      </c>
      <c r="E57" s="559"/>
    </row>
    <row r="58" spans="2:5" x14ac:dyDescent="0.2">
      <c r="B58" s="561">
        <v>6.1</v>
      </c>
      <c r="C58" s="560" t="s">
        <v>1397</v>
      </c>
      <c r="D58" s="556" t="str">
        <f t="shared" ref="D58:D67" si="5">CONCATENATE(B58, " - ", C58)</f>
        <v>6.1 - Public Works</v>
      </c>
      <c r="E58" s="559" t="s">
        <v>1431</v>
      </c>
    </row>
    <row r="59" spans="2:5" x14ac:dyDescent="0.2">
      <c r="B59" s="561">
        <v>6.2</v>
      </c>
      <c r="C59" s="560" t="s">
        <v>1398</v>
      </c>
      <c r="D59" s="556" t="str">
        <f t="shared" si="5"/>
        <v>6.2 - Cemetaries</v>
      </c>
      <c r="E59" s="559" t="s">
        <v>1432</v>
      </c>
    </row>
    <row r="60" spans="2:5" x14ac:dyDescent="0.2">
      <c r="B60" s="561">
        <v>6.3</v>
      </c>
      <c r="C60" s="560" t="s">
        <v>1191</v>
      </c>
      <c r="D60" s="556" t="str">
        <f t="shared" si="5"/>
        <v>6.3 - Recreational Facilities</v>
      </c>
      <c r="E60" s="559" t="s">
        <v>1433</v>
      </c>
    </row>
    <row r="61" spans="2:5" x14ac:dyDescent="0.2">
      <c r="B61" s="561">
        <v>6.4</v>
      </c>
      <c r="C61" s="560" t="s">
        <v>1399</v>
      </c>
      <c r="D61" s="556" t="str">
        <f t="shared" si="5"/>
        <v>6.4 - Refuse Removal</v>
      </c>
      <c r="E61" s="559" t="s">
        <v>1434</v>
      </c>
    </row>
    <row r="62" spans="2:5" x14ac:dyDescent="0.2">
      <c r="B62" s="561">
        <v>6.5</v>
      </c>
      <c r="C62" s="560" t="s">
        <v>1400</v>
      </c>
      <c r="D62" s="556" t="str">
        <f t="shared" si="5"/>
        <v>6.5 - Sewerages</v>
      </c>
      <c r="E62" s="559" t="s">
        <v>1435</v>
      </c>
    </row>
    <row r="63" spans="2:5" x14ac:dyDescent="0.2">
      <c r="B63" s="561">
        <v>6.6</v>
      </c>
      <c r="C63" s="560" t="s">
        <v>1401</v>
      </c>
      <c r="D63" s="556" t="str">
        <f t="shared" si="5"/>
        <v>6.6 - Electricity Management</v>
      </c>
      <c r="E63" s="559" t="s">
        <v>1436</v>
      </c>
    </row>
    <row r="64" spans="2:5" x14ac:dyDescent="0.2">
      <c r="B64" s="561">
        <v>6.7</v>
      </c>
      <c r="C64" s="560" t="s">
        <v>1402</v>
      </c>
      <c r="D64" s="556" t="str">
        <f t="shared" si="5"/>
        <v>6.7 - Water Management</v>
      </c>
      <c r="E64" s="559" t="s">
        <v>1437</v>
      </c>
    </row>
    <row r="65" spans="2:5" x14ac:dyDescent="0.2">
      <c r="B65" s="561">
        <v>6.8</v>
      </c>
      <c r="C65" s="560"/>
      <c r="D65" s="556" t="str">
        <f t="shared" si="5"/>
        <v xml:space="preserve">6.8 - </v>
      </c>
      <c r="E65" s="559"/>
    </row>
    <row r="66" spans="2:5" x14ac:dyDescent="0.2">
      <c r="B66" s="561">
        <v>6.9</v>
      </c>
      <c r="C66" s="560" t="s">
        <v>511</v>
      </c>
      <c r="D66" s="556" t="str">
        <f t="shared" si="5"/>
        <v xml:space="preserve">6.9 -  </v>
      </c>
      <c r="E66" s="559"/>
    </row>
    <row r="67" spans="2:5" x14ac:dyDescent="0.2">
      <c r="B67" s="561" t="s">
        <v>1052</v>
      </c>
      <c r="C67" s="560" t="s">
        <v>511</v>
      </c>
      <c r="D67" s="556" t="str">
        <f t="shared" si="5"/>
        <v xml:space="preserve">6.10 -  </v>
      </c>
      <c r="E67" s="559"/>
    </row>
    <row r="68" spans="2:5" x14ac:dyDescent="0.2">
      <c r="B68" s="563" t="s">
        <v>820</v>
      </c>
      <c r="C68" s="562" t="s">
        <v>1051</v>
      </c>
      <c r="E68" s="559"/>
    </row>
    <row r="69" spans="2:5" x14ac:dyDescent="0.2">
      <c r="B69" s="561">
        <v>7.1</v>
      </c>
      <c r="C69" s="560" t="s">
        <v>1024</v>
      </c>
      <c r="D69" s="556" t="str">
        <f t="shared" ref="D69:D78" si="6">CONCATENATE(B69, " - ", C69)</f>
        <v>7.1 - [Name of sub-vote]</v>
      </c>
      <c r="E69" s="559" t="s">
        <v>1050</v>
      </c>
    </row>
    <row r="70" spans="2:5" x14ac:dyDescent="0.2">
      <c r="B70" s="561">
        <v>7.2</v>
      </c>
      <c r="C70" s="560" t="s">
        <v>1024</v>
      </c>
      <c r="D70" s="556" t="str">
        <f t="shared" si="6"/>
        <v>7.2 - [Name of sub-vote]</v>
      </c>
      <c r="E70" s="559"/>
    </row>
    <row r="71" spans="2:5" x14ac:dyDescent="0.2">
      <c r="B71" s="561">
        <v>7.3</v>
      </c>
      <c r="C71" s="560" t="s">
        <v>1024</v>
      </c>
      <c r="D71" s="556" t="str">
        <f t="shared" si="6"/>
        <v>7.3 - [Name of sub-vote]</v>
      </c>
      <c r="E71" s="559"/>
    </row>
    <row r="72" spans="2:5" x14ac:dyDescent="0.2">
      <c r="B72" s="561">
        <v>7.4</v>
      </c>
      <c r="C72" s="560" t="s">
        <v>1024</v>
      </c>
      <c r="D72" s="556" t="str">
        <f t="shared" si="6"/>
        <v>7.4 - [Name of sub-vote]</v>
      </c>
      <c r="E72" s="559"/>
    </row>
    <row r="73" spans="2:5" x14ac:dyDescent="0.2">
      <c r="B73" s="561">
        <v>7.5</v>
      </c>
      <c r="C73" s="560" t="s">
        <v>1024</v>
      </c>
      <c r="D73" s="556" t="str">
        <f t="shared" si="6"/>
        <v>7.5 - [Name of sub-vote]</v>
      </c>
      <c r="E73" s="559"/>
    </row>
    <row r="74" spans="2:5" x14ac:dyDescent="0.2">
      <c r="B74" s="561">
        <v>7.6</v>
      </c>
      <c r="C74" s="560" t="s">
        <v>1024</v>
      </c>
      <c r="D74" s="556" t="str">
        <f t="shared" si="6"/>
        <v>7.6 - [Name of sub-vote]</v>
      </c>
      <c r="E74" s="559"/>
    </row>
    <row r="75" spans="2:5" x14ac:dyDescent="0.2">
      <c r="B75" s="561">
        <v>7.7</v>
      </c>
      <c r="C75" s="560" t="s">
        <v>1024</v>
      </c>
      <c r="D75" s="556" t="str">
        <f t="shared" si="6"/>
        <v>7.7 - [Name of sub-vote]</v>
      </c>
      <c r="E75" s="559"/>
    </row>
    <row r="76" spans="2:5" x14ac:dyDescent="0.2">
      <c r="B76" s="561">
        <v>7.8</v>
      </c>
      <c r="C76" s="560" t="s">
        <v>1024</v>
      </c>
      <c r="D76" s="556" t="str">
        <f t="shared" si="6"/>
        <v>7.8 - [Name of sub-vote]</v>
      </c>
      <c r="E76" s="559"/>
    </row>
    <row r="77" spans="2:5" x14ac:dyDescent="0.2">
      <c r="B77" s="561">
        <v>7.9</v>
      </c>
      <c r="C77" s="560" t="s">
        <v>1024</v>
      </c>
      <c r="D77" s="556" t="str">
        <f t="shared" si="6"/>
        <v>7.9 - [Name of sub-vote]</v>
      </c>
      <c r="E77" s="559"/>
    </row>
    <row r="78" spans="2:5" x14ac:dyDescent="0.2">
      <c r="B78" s="561" t="s">
        <v>1049</v>
      </c>
      <c r="C78" s="560" t="s">
        <v>1024</v>
      </c>
      <c r="D78" s="556" t="str">
        <f t="shared" si="6"/>
        <v>7.10 - [Name of sub-vote]</v>
      </c>
      <c r="E78" s="559"/>
    </row>
    <row r="79" spans="2:5" x14ac:dyDescent="0.2">
      <c r="B79" s="563" t="s">
        <v>819</v>
      </c>
      <c r="C79" s="562" t="s">
        <v>1048</v>
      </c>
      <c r="E79" s="559"/>
    </row>
    <row r="80" spans="2:5" x14ac:dyDescent="0.2">
      <c r="B80" s="561">
        <v>8.1</v>
      </c>
      <c r="C80" s="560" t="s">
        <v>1024</v>
      </c>
      <c r="D80" s="556" t="str">
        <f t="shared" ref="D80:D89" si="7">CONCATENATE(B80, " - ", C80)</f>
        <v>8.1 - [Name of sub-vote]</v>
      </c>
      <c r="E80" s="559" t="s">
        <v>1047</v>
      </c>
    </row>
    <row r="81" spans="2:5" x14ac:dyDescent="0.2">
      <c r="B81" s="561">
        <v>8.1999999999999993</v>
      </c>
      <c r="C81" s="560" t="s">
        <v>1024</v>
      </c>
      <c r="D81" s="556" t="str">
        <f t="shared" si="7"/>
        <v>8.2 - [Name of sub-vote]</v>
      </c>
      <c r="E81" s="559"/>
    </row>
    <row r="82" spans="2:5" x14ac:dyDescent="0.2">
      <c r="B82" s="561">
        <v>8.3000000000000007</v>
      </c>
      <c r="C82" s="560" t="s">
        <v>1024</v>
      </c>
      <c r="D82" s="556" t="str">
        <f t="shared" si="7"/>
        <v>8.3 - [Name of sub-vote]</v>
      </c>
      <c r="E82" s="559"/>
    </row>
    <row r="83" spans="2:5" x14ac:dyDescent="0.2">
      <c r="B83" s="561">
        <v>8.4</v>
      </c>
      <c r="C83" s="560" t="s">
        <v>1024</v>
      </c>
      <c r="D83" s="556" t="str">
        <f t="shared" si="7"/>
        <v>8.4 - [Name of sub-vote]</v>
      </c>
      <c r="E83" s="559"/>
    </row>
    <row r="84" spans="2:5" x14ac:dyDescent="0.2">
      <c r="B84" s="561">
        <v>8.5</v>
      </c>
      <c r="C84" s="560" t="s">
        <v>1024</v>
      </c>
      <c r="D84" s="556" t="str">
        <f t="shared" si="7"/>
        <v>8.5 - [Name of sub-vote]</v>
      </c>
      <c r="E84" s="559"/>
    </row>
    <row r="85" spans="2:5" x14ac:dyDescent="0.2">
      <c r="B85" s="561">
        <v>8.6</v>
      </c>
      <c r="C85" s="560" t="s">
        <v>1024</v>
      </c>
      <c r="D85" s="556" t="str">
        <f t="shared" si="7"/>
        <v>8.6 - [Name of sub-vote]</v>
      </c>
      <c r="E85" s="559"/>
    </row>
    <row r="86" spans="2:5" x14ac:dyDescent="0.2">
      <c r="B86" s="561">
        <v>8.6999999999999993</v>
      </c>
      <c r="C86" s="560" t="s">
        <v>1024</v>
      </c>
      <c r="D86" s="556" t="str">
        <f t="shared" si="7"/>
        <v>8.7 - [Name of sub-vote]</v>
      </c>
      <c r="E86" s="559"/>
    </row>
    <row r="87" spans="2:5" x14ac:dyDescent="0.2">
      <c r="B87" s="561">
        <v>8.8000000000000007</v>
      </c>
      <c r="C87" s="560" t="s">
        <v>1024</v>
      </c>
      <c r="D87" s="556" t="str">
        <f t="shared" si="7"/>
        <v>8.8 - [Name of sub-vote]</v>
      </c>
      <c r="E87" s="559"/>
    </row>
    <row r="88" spans="2:5" x14ac:dyDescent="0.2">
      <c r="B88" s="561">
        <v>8.9</v>
      </c>
      <c r="C88" s="560" t="s">
        <v>1024</v>
      </c>
      <c r="D88" s="556" t="str">
        <f t="shared" si="7"/>
        <v>8.9 - [Name of sub-vote]</v>
      </c>
      <c r="E88" s="559"/>
    </row>
    <row r="89" spans="2:5" x14ac:dyDescent="0.2">
      <c r="B89" s="561" t="s">
        <v>1046</v>
      </c>
      <c r="C89" s="560" t="s">
        <v>1024</v>
      </c>
      <c r="D89" s="556" t="str">
        <f t="shared" si="7"/>
        <v>8.10 - [Name of sub-vote]</v>
      </c>
      <c r="E89" s="559"/>
    </row>
    <row r="90" spans="2:5" x14ac:dyDescent="0.2">
      <c r="B90" s="563" t="s">
        <v>818</v>
      </c>
      <c r="C90" s="562" t="s">
        <v>1045</v>
      </c>
      <c r="E90" s="559"/>
    </row>
    <row r="91" spans="2:5" x14ac:dyDescent="0.2">
      <c r="B91" s="561">
        <v>9.1</v>
      </c>
      <c r="C91" s="560" t="s">
        <v>1024</v>
      </c>
      <c r="D91" s="556" t="str">
        <f t="shared" ref="D91:D100" si="8">CONCATENATE(B91, " - ", C91)</f>
        <v>9.1 - [Name of sub-vote]</v>
      </c>
      <c r="E91" s="559" t="s">
        <v>1044</v>
      </c>
    </row>
    <row r="92" spans="2:5" x14ac:dyDescent="0.2">
      <c r="B92" s="561">
        <v>9.1999999999999993</v>
      </c>
      <c r="C92" s="560" t="s">
        <v>1024</v>
      </c>
      <c r="D92" s="556" t="str">
        <f t="shared" si="8"/>
        <v>9.2 - [Name of sub-vote]</v>
      </c>
      <c r="E92" s="559"/>
    </row>
    <row r="93" spans="2:5" x14ac:dyDescent="0.2">
      <c r="B93" s="561">
        <v>9.3000000000000007</v>
      </c>
      <c r="C93" s="560" t="s">
        <v>1024</v>
      </c>
      <c r="D93" s="556" t="str">
        <f t="shared" si="8"/>
        <v>9.3 - [Name of sub-vote]</v>
      </c>
      <c r="E93" s="559"/>
    </row>
    <row r="94" spans="2:5" x14ac:dyDescent="0.2">
      <c r="B94" s="561">
        <v>9.4</v>
      </c>
      <c r="C94" s="560" t="s">
        <v>1024</v>
      </c>
      <c r="D94" s="556" t="str">
        <f t="shared" si="8"/>
        <v>9.4 - [Name of sub-vote]</v>
      </c>
      <c r="E94" s="559"/>
    </row>
    <row r="95" spans="2:5" x14ac:dyDescent="0.2">
      <c r="B95" s="561">
        <v>9.5</v>
      </c>
      <c r="C95" s="560" t="s">
        <v>1024</v>
      </c>
      <c r="D95" s="556" t="str">
        <f t="shared" si="8"/>
        <v>9.5 - [Name of sub-vote]</v>
      </c>
      <c r="E95" s="559"/>
    </row>
    <row r="96" spans="2:5" x14ac:dyDescent="0.2">
      <c r="B96" s="561">
        <v>9.6</v>
      </c>
      <c r="C96" s="560" t="s">
        <v>1024</v>
      </c>
      <c r="D96" s="556" t="str">
        <f t="shared" si="8"/>
        <v>9.6 - [Name of sub-vote]</v>
      </c>
      <c r="E96" s="559"/>
    </row>
    <row r="97" spans="2:5" x14ac:dyDescent="0.2">
      <c r="B97" s="561">
        <v>9.6999999999999993</v>
      </c>
      <c r="C97" s="560" t="s">
        <v>1024</v>
      </c>
      <c r="D97" s="556" t="str">
        <f t="shared" si="8"/>
        <v>9.7 - [Name of sub-vote]</v>
      </c>
      <c r="E97" s="559"/>
    </row>
    <row r="98" spans="2:5" x14ac:dyDescent="0.2">
      <c r="B98" s="561">
        <v>9.8000000000000007</v>
      </c>
      <c r="C98" s="560" t="s">
        <v>1024</v>
      </c>
      <c r="D98" s="556" t="str">
        <f t="shared" si="8"/>
        <v>9.8 - [Name of sub-vote]</v>
      </c>
      <c r="E98" s="559"/>
    </row>
    <row r="99" spans="2:5" x14ac:dyDescent="0.2">
      <c r="B99" s="561">
        <v>9.9</v>
      </c>
      <c r="C99" s="560" t="s">
        <v>1024</v>
      </c>
      <c r="D99" s="556" t="str">
        <f t="shared" si="8"/>
        <v>9.9 - [Name of sub-vote]</v>
      </c>
      <c r="E99" s="559"/>
    </row>
    <row r="100" spans="2:5" x14ac:dyDescent="0.2">
      <c r="B100" s="561" t="s">
        <v>1043</v>
      </c>
      <c r="C100" s="560" t="s">
        <v>1024</v>
      </c>
      <c r="D100" s="556" t="str">
        <f t="shared" si="8"/>
        <v>9.10 - [Name of sub-vote]</v>
      </c>
      <c r="E100" s="559"/>
    </row>
    <row r="101" spans="2:5" x14ac:dyDescent="0.2">
      <c r="B101" s="563" t="s">
        <v>817</v>
      </c>
      <c r="C101" s="562" t="s">
        <v>1042</v>
      </c>
      <c r="E101" s="559"/>
    </row>
    <row r="102" spans="2:5" x14ac:dyDescent="0.2">
      <c r="B102" s="561">
        <v>10.1</v>
      </c>
      <c r="C102" s="560" t="s">
        <v>1024</v>
      </c>
      <c r="D102" s="556" t="str">
        <f t="shared" ref="D102:D111" si="9">CONCATENATE(B102, " - ", C102)</f>
        <v>10.1 - [Name of sub-vote]</v>
      </c>
      <c r="E102" s="559" t="s">
        <v>1041</v>
      </c>
    </row>
    <row r="103" spans="2:5" x14ac:dyDescent="0.2">
      <c r="B103" s="561">
        <v>10.199999999999999</v>
      </c>
      <c r="C103" s="560" t="s">
        <v>1024</v>
      </c>
      <c r="D103" s="556" t="str">
        <f t="shared" si="9"/>
        <v>10.2 - [Name of sub-vote]</v>
      </c>
      <c r="E103" s="559"/>
    </row>
    <row r="104" spans="2:5" x14ac:dyDescent="0.2">
      <c r="B104" s="561">
        <v>10.3</v>
      </c>
      <c r="C104" s="560" t="s">
        <v>1024</v>
      </c>
      <c r="D104" s="556" t="str">
        <f t="shared" si="9"/>
        <v>10.3 - [Name of sub-vote]</v>
      </c>
      <c r="E104" s="559"/>
    </row>
    <row r="105" spans="2:5" x14ac:dyDescent="0.2">
      <c r="B105" s="561">
        <v>10.4</v>
      </c>
      <c r="C105" s="560" t="s">
        <v>1024</v>
      </c>
      <c r="D105" s="556" t="str">
        <f t="shared" si="9"/>
        <v>10.4 - [Name of sub-vote]</v>
      </c>
      <c r="E105" s="559"/>
    </row>
    <row r="106" spans="2:5" x14ac:dyDescent="0.2">
      <c r="B106" s="561">
        <v>10.5</v>
      </c>
      <c r="C106" s="560" t="s">
        <v>1024</v>
      </c>
      <c r="D106" s="556" t="str">
        <f t="shared" si="9"/>
        <v>10.5 - [Name of sub-vote]</v>
      </c>
      <c r="E106" s="559"/>
    </row>
    <row r="107" spans="2:5" x14ac:dyDescent="0.2">
      <c r="B107" s="561">
        <v>10.6</v>
      </c>
      <c r="C107" s="560" t="s">
        <v>1024</v>
      </c>
      <c r="D107" s="556" t="str">
        <f t="shared" si="9"/>
        <v>10.6 - [Name of sub-vote]</v>
      </c>
      <c r="E107" s="559"/>
    </row>
    <row r="108" spans="2:5" x14ac:dyDescent="0.2">
      <c r="B108" s="561">
        <v>10.7</v>
      </c>
      <c r="C108" s="560" t="s">
        <v>1024</v>
      </c>
      <c r="D108" s="556" t="str">
        <f t="shared" si="9"/>
        <v>10.7 - [Name of sub-vote]</v>
      </c>
      <c r="E108" s="559"/>
    </row>
    <row r="109" spans="2:5" x14ac:dyDescent="0.2">
      <c r="B109" s="561">
        <v>10.8</v>
      </c>
      <c r="C109" s="560" t="s">
        <v>1024</v>
      </c>
      <c r="D109" s="556" t="str">
        <f t="shared" si="9"/>
        <v>10.8 - [Name of sub-vote]</v>
      </c>
      <c r="E109" s="559"/>
    </row>
    <row r="110" spans="2:5" x14ac:dyDescent="0.2">
      <c r="B110" s="561">
        <v>10.9</v>
      </c>
      <c r="C110" s="560" t="s">
        <v>1024</v>
      </c>
      <c r="D110" s="556" t="str">
        <f t="shared" si="9"/>
        <v>10.9 - [Name of sub-vote]</v>
      </c>
      <c r="E110" s="559"/>
    </row>
    <row r="111" spans="2:5" x14ac:dyDescent="0.2">
      <c r="B111" s="561" t="s">
        <v>1040</v>
      </c>
      <c r="C111" s="560" t="s">
        <v>1024</v>
      </c>
      <c r="D111" s="556" t="str">
        <f t="shared" si="9"/>
        <v>10.10 - [Name of sub-vote]</v>
      </c>
      <c r="E111" s="559"/>
    </row>
    <row r="112" spans="2:5" x14ac:dyDescent="0.2">
      <c r="B112" s="563" t="s">
        <v>816</v>
      </c>
      <c r="C112" s="562" t="s">
        <v>1039</v>
      </c>
      <c r="E112" s="559"/>
    </row>
    <row r="113" spans="2:5" x14ac:dyDescent="0.2">
      <c r="B113" s="561">
        <v>11.1</v>
      </c>
      <c r="C113" s="560" t="s">
        <v>1024</v>
      </c>
      <c r="D113" s="556" t="str">
        <f t="shared" ref="D113:D122" si="10">CONCATENATE(B113, " - ", C113)</f>
        <v>11.1 - [Name of sub-vote]</v>
      </c>
      <c r="E113" s="559" t="s">
        <v>1038</v>
      </c>
    </row>
    <row r="114" spans="2:5" x14ac:dyDescent="0.2">
      <c r="B114" s="561">
        <v>11.2</v>
      </c>
      <c r="C114" s="560" t="s">
        <v>1024</v>
      </c>
      <c r="D114" s="556" t="str">
        <f t="shared" si="10"/>
        <v>11.2 - [Name of sub-vote]</v>
      </c>
      <c r="E114" s="559"/>
    </row>
    <row r="115" spans="2:5" x14ac:dyDescent="0.2">
      <c r="B115" s="561">
        <v>11.3</v>
      </c>
      <c r="C115" s="560" t="s">
        <v>1024</v>
      </c>
      <c r="D115" s="556" t="str">
        <f t="shared" si="10"/>
        <v>11.3 - [Name of sub-vote]</v>
      </c>
      <c r="E115" s="559"/>
    </row>
    <row r="116" spans="2:5" x14ac:dyDescent="0.2">
      <c r="B116" s="561">
        <v>11.4</v>
      </c>
      <c r="C116" s="560" t="s">
        <v>1024</v>
      </c>
      <c r="D116" s="556" t="str">
        <f t="shared" si="10"/>
        <v>11.4 - [Name of sub-vote]</v>
      </c>
      <c r="E116" s="559"/>
    </row>
    <row r="117" spans="2:5" x14ac:dyDescent="0.2">
      <c r="B117" s="561">
        <v>11.5</v>
      </c>
      <c r="C117" s="560" t="s">
        <v>1024</v>
      </c>
      <c r="D117" s="556" t="str">
        <f t="shared" si="10"/>
        <v>11.5 - [Name of sub-vote]</v>
      </c>
      <c r="E117" s="559"/>
    </row>
    <row r="118" spans="2:5" x14ac:dyDescent="0.2">
      <c r="B118" s="561">
        <v>11.6</v>
      </c>
      <c r="C118" s="560" t="s">
        <v>1024</v>
      </c>
      <c r="D118" s="556" t="str">
        <f t="shared" si="10"/>
        <v>11.6 - [Name of sub-vote]</v>
      </c>
      <c r="E118" s="559"/>
    </row>
    <row r="119" spans="2:5" x14ac:dyDescent="0.2">
      <c r="B119" s="561">
        <v>11.7</v>
      </c>
      <c r="C119" s="560" t="s">
        <v>1024</v>
      </c>
      <c r="D119" s="556" t="str">
        <f t="shared" si="10"/>
        <v>11.7 - [Name of sub-vote]</v>
      </c>
      <c r="E119" s="559"/>
    </row>
    <row r="120" spans="2:5" x14ac:dyDescent="0.2">
      <c r="B120" s="561">
        <v>11.8</v>
      </c>
      <c r="C120" s="560" t="s">
        <v>1024</v>
      </c>
      <c r="D120" s="556" t="str">
        <f t="shared" si="10"/>
        <v>11.8 - [Name of sub-vote]</v>
      </c>
      <c r="E120" s="559"/>
    </row>
    <row r="121" spans="2:5" x14ac:dyDescent="0.2">
      <c r="B121" s="561">
        <v>11.9</v>
      </c>
      <c r="C121" s="560" t="s">
        <v>1024</v>
      </c>
      <c r="D121" s="556" t="str">
        <f t="shared" si="10"/>
        <v>11.9 - [Name of sub-vote]</v>
      </c>
      <c r="E121" s="559"/>
    </row>
    <row r="122" spans="2:5" x14ac:dyDescent="0.2">
      <c r="B122" s="561" t="s">
        <v>1037</v>
      </c>
      <c r="C122" s="560" t="s">
        <v>1024</v>
      </c>
      <c r="D122" s="556" t="str">
        <f t="shared" si="10"/>
        <v>11.10 - [Name of sub-vote]</v>
      </c>
      <c r="E122" s="559"/>
    </row>
    <row r="123" spans="2:5" x14ac:dyDescent="0.2">
      <c r="B123" s="563" t="s">
        <v>815</v>
      </c>
      <c r="C123" s="562" t="s">
        <v>1036</v>
      </c>
      <c r="E123" s="559"/>
    </row>
    <row r="124" spans="2:5" x14ac:dyDescent="0.2">
      <c r="B124" s="561">
        <v>12.1</v>
      </c>
      <c r="C124" s="560" t="s">
        <v>1024</v>
      </c>
      <c r="D124" s="556" t="str">
        <f t="shared" ref="D124:D133" si="11">CONCATENATE(B124, " - ", C124)</f>
        <v>12.1 - [Name of sub-vote]</v>
      </c>
      <c r="E124" s="559" t="s">
        <v>1035</v>
      </c>
    </row>
    <row r="125" spans="2:5" x14ac:dyDescent="0.2">
      <c r="B125" s="561">
        <v>12.2</v>
      </c>
      <c r="C125" s="560" t="s">
        <v>1024</v>
      </c>
      <c r="D125" s="556" t="str">
        <f t="shared" si="11"/>
        <v>12.2 - [Name of sub-vote]</v>
      </c>
      <c r="E125" s="559"/>
    </row>
    <row r="126" spans="2:5" x14ac:dyDescent="0.2">
      <c r="B126" s="561">
        <v>12.3</v>
      </c>
      <c r="C126" s="560" t="s">
        <v>1024</v>
      </c>
      <c r="D126" s="556" t="str">
        <f t="shared" si="11"/>
        <v>12.3 - [Name of sub-vote]</v>
      </c>
      <c r="E126" s="559"/>
    </row>
    <row r="127" spans="2:5" x14ac:dyDescent="0.2">
      <c r="B127" s="561">
        <v>12.4</v>
      </c>
      <c r="C127" s="560" t="s">
        <v>1024</v>
      </c>
      <c r="D127" s="556" t="str">
        <f t="shared" si="11"/>
        <v>12.4 - [Name of sub-vote]</v>
      </c>
      <c r="E127" s="559"/>
    </row>
    <row r="128" spans="2:5" x14ac:dyDescent="0.2">
      <c r="B128" s="561">
        <v>12.5</v>
      </c>
      <c r="C128" s="560" t="s">
        <v>1024</v>
      </c>
      <c r="D128" s="556" t="str">
        <f t="shared" si="11"/>
        <v>12.5 - [Name of sub-vote]</v>
      </c>
      <c r="E128" s="559"/>
    </row>
    <row r="129" spans="2:5" x14ac:dyDescent="0.2">
      <c r="B129" s="561">
        <v>12.6</v>
      </c>
      <c r="C129" s="560" t="s">
        <v>1024</v>
      </c>
      <c r="D129" s="556" t="str">
        <f t="shared" si="11"/>
        <v>12.6 - [Name of sub-vote]</v>
      </c>
      <c r="E129" s="559"/>
    </row>
    <row r="130" spans="2:5" x14ac:dyDescent="0.2">
      <c r="B130" s="561">
        <v>12.7</v>
      </c>
      <c r="C130" s="560" t="s">
        <v>1024</v>
      </c>
      <c r="D130" s="556" t="str">
        <f t="shared" si="11"/>
        <v>12.7 - [Name of sub-vote]</v>
      </c>
      <c r="E130" s="559"/>
    </row>
    <row r="131" spans="2:5" x14ac:dyDescent="0.2">
      <c r="B131" s="561">
        <v>12.8</v>
      </c>
      <c r="C131" s="560" t="s">
        <v>1024</v>
      </c>
      <c r="D131" s="556" t="str">
        <f t="shared" si="11"/>
        <v>12.8 - [Name of sub-vote]</v>
      </c>
      <c r="E131" s="559"/>
    </row>
    <row r="132" spans="2:5" x14ac:dyDescent="0.2">
      <c r="B132" s="561">
        <v>12.9</v>
      </c>
      <c r="C132" s="560" t="s">
        <v>1024</v>
      </c>
      <c r="D132" s="556" t="str">
        <f t="shared" si="11"/>
        <v>12.9 - [Name of sub-vote]</v>
      </c>
      <c r="E132" s="559"/>
    </row>
    <row r="133" spans="2:5" x14ac:dyDescent="0.2">
      <c r="B133" s="561" t="s">
        <v>1034</v>
      </c>
      <c r="C133" s="560" t="s">
        <v>1024</v>
      </c>
      <c r="D133" s="556" t="str">
        <f t="shared" si="11"/>
        <v>12.10 - [Name of sub-vote]</v>
      </c>
      <c r="E133" s="559"/>
    </row>
    <row r="134" spans="2:5" x14ac:dyDescent="0.2">
      <c r="B134" s="563" t="s">
        <v>814</v>
      </c>
      <c r="C134" s="562" t="s">
        <v>1033</v>
      </c>
      <c r="E134" s="559"/>
    </row>
    <row r="135" spans="2:5" x14ac:dyDescent="0.2">
      <c r="B135" s="561">
        <v>13.1</v>
      </c>
      <c r="C135" s="560" t="s">
        <v>1024</v>
      </c>
      <c r="D135" s="556" t="str">
        <f t="shared" ref="D135:D144" si="12">CONCATENATE(B135, " - ", C135)</f>
        <v>13.1 - [Name of sub-vote]</v>
      </c>
      <c r="E135" s="559" t="s">
        <v>1032</v>
      </c>
    </row>
    <row r="136" spans="2:5" x14ac:dyDescent="0.2">
      <c r="B136" s="561">
        <v>13.2</v>
      </c>
      <c r="C136" s="560" t="s">
        <v>1024</v>
      </c>
      <c r="D136" s="556" t="str">
        <f t="shared" si="12"/>
        <v>13.2 - [Name of sub-vote]</v>
      </c>
      <c r="E136" s="559"/>
    </row>
    <row r="137" spans="2:5" x14ac:dyDescent="0.2">
      <c r="B137" s="561">
        <v>13.3</v>
      </c>
      <c r="C137" s="560" t="s">
        <v>1024</v>
      </c>
      <c r="D137" s="556" t="str">
        <f t="shared" si="12"/>
        <v>13.3 - [Name of sub-vote]</v>
      </c>
      <c r="E137" s="559"/>
    </row>
    <row r="138" spans="2:5" x14ac:dyDescent="0.2">
      <c r="B138" s="561">
        <v>13.4</v>
      </c>
      <c r="C138" s="560" t="s">
        <v>1024</v>
      </c>
      <c r="D138" s="556" t="str">
        <f t="shared" si="12"/>
        <v>13.4 - [Name of sub-vote]</v>
      </c>
      <c r="E138" s="559"/>
    </row>
    <row r="139" spans="2:5" x14ac:dyDescent="0.2">
      <c r="B139" s="561">
        <v>13.5</v>
      </c>
      <c r="C139" s="560" t="s">
        <v>1024</v>
      </c>
      <c r="D139" s="556" t="str">
        <f t="shared" si="12"/>
        <v>13.5 - [Name of sub-vote]</v>
      </c>
      <c r="E139" s="559"/>
    </row>
    <row r="140" spans="2:5" x14ac:dyDescent="0.2">
      <c r="B140" s="561">
        <v>13.6</v>
      </c>
      <c r="C140" s="560" t="s">
        <v>1024</v>
      </c>
      <c r="D140" s="556" t="str">
        <f t="shared" si="12"/>
        <v>13.6 - [Name of sub-vote]</v>
      </c>
      <c r="E140" s="559"/>
    </row>
    <row r="141" spans="2:5" x14ac:dyDescent="0.2">
      <c r="B141" s="561">
        <v>13.7</v>
      </c>
      <c r="C141" s="560" t="s">
        <v>1024</v>
      </c>
      <c r="D141" s="556" t="str">
        <f t="shared" si="12"/>
        <v>13.7 - [Name of sub-vote]</v>
      </c>
      <c r="E141" s="559"/>
    </row>
    <row r="142" spans="2:5" x14ac:dyDescent="0.2">
      <c r="B142" s="561">
        <v>13.8</v>
      </c>
      <c r="C142" s="560" t="s">
        <v>1024</v>
      </c>
      <c r="D142" s="556" t="str">
        <f t="shared" si="12"/>
        <v>13.8 - [Name of sub-vote]</v>
      </c>
      <c r="E142" s="559"/>
    </row>
    <row r="143" spans="2:5" x14ac:dyDescent="0.2">
      <c r="B143" s="561">
        <v>13.9</v>
      </c>
      <c r="C143" s="560" t="s">
        <v>1024</v>
      </c>
      <c r="D143" s="556" t="str">
        <f t="shared" si="12"/>
        <v>13.9 - [Name of sub-vote]</v>
      </c>
      <c r="E143" s="559"/>
    </row>
    <row r="144" spans="2:5" x14ac:dyDescent="0.2">
      <c r="B144" s="561" t="s">
        <v>1031</v>
      </c>
      <c r="C144" s="560" t="s">
        <v>1024</v>
      </c>
      <c r="D144" s="556" t="str">
        <f t="shared" si="12"/>
        <v>13.10 - [Name of sub-vote]</v>
      </c>
      <c r="E144" s="559"/>
    </row>
    <row r="145" spans="2:5" x14ac:dyDescent="0.2">
      <c r="B145" s="563" t="s">
        <v>813</v>
      </c>
      <c r="C145" s="562" t="s">
        <v>1030</v>
      </c>
      <c r="E145" s="559"/>
    </row>
    <row r="146" spans="2:5" x14ac:dyDescent="0.2">
      <c r="B146" s="561">
        <v>14.1</v>
      </c>
      <c r="C146" s="560" t="s">
        <v>1024</v>
      </c>
      <c r="D146" s="556" t="str">
        <f t="shared" ref="D146:D155" si="13">CONCATENATE(B146, " - ", C146)</f>
        <v>14.1 - [Name of sub-vote]</v>
      </c>
      <c r="E146" s="559" t="s">
        <v>1029</v>
      </c>
    </row>
    <row r="147" spans="2:5" x14ac:dyDescent="0.2">
      <c r="B147" s="561">
        <v>14.2</v>
      </c>
      <c r="C147" s="560" t="s">
        <v>1024</v>
      </c>
      <c r="D147" s="556" t="str">
        <f t="shared" si="13"/>
        <v>14.2 - [Name of sub-vote]</v>
      </c>
      <c r="E147" s="559"/>
    </row>
    <row r="148" spans="2:5" x14ac:dyDescent="0.2">
      <c r="B148" s="561">
        <v>14.3</v>
      </c>
      <c r="C148" s="560" t="s">
        <v>1024</v>
      </c>
      <c r="D148" s="556" t="str">
        <f t="shared" si="13"/>
        <v>14.3 - [Name of sub-vote]</v>
      </c>
      <c r="E148" s="559"/>
    </row>
    <row r="149" spans="2:5" x14ac:dyDescent="0.2">
      <c r="B149" s="561">
        <v>14.4</v>
      </c>
      <c r="C149" s="560" t="s">
        <v>1024</v>
      </c>
      <c r="D149" s="556" t="str">
        <f t="shared" si="13"/>
        <v>14.4 - [Name of sub-vote]</v>
      </c>
      <c r="E149" s="559"/>
    </row>
    <row r="150" spans="2:5" x14ac:dyDescent="0.2">
      <c r="B150" s="561">
        <v>14.5</v>
      </c>
      <c r="C150" s="560" t="s">
        <v>1024</v>
      </c>
      <c r="D150" s="556" t="str">
        <f t="shared" si="13"/>
        <v>14.5 - [Name of sub-vote]</v>
      </c>
      <c r="E150" s="559"/>
    </row>
    <row r="151" spans="2:5" x14ac:dyDescent="0.2">
      <c r="B151" s="561">
        <v>14.6</v>
      </c>
      <c r="C151" s="560" t="s">
        <v>1024</v>
      </c>
      <c r="D151" s="556" t="str">
        <f t="shared" si="13"/>
        <v>14.6 - [Name of sub-vote]</v>
      </c>
      <c r="E151" s="559"/>
    </row>
    <row r="152" spans="2:5" x14ac:dyDescent="0.2">
      <c r="B152" s="561">
        <v>14.7</v>
      </c>
      <c r="C152" s="560" t="s">
        <v>1024</v>
      </c>
      <c r="D152" s="556" t="str">
        <f t="shared" si="13"/>
        <v>14.7 - [Name of sub-vote]</v>
      </c>
      <c r="E152" s="559"/>
    </row>
    <row r="153" spans="2:5" x14ac:dyDescent="0.2">
      <c r="B153" s="561">
        <v>14.8</v>
      </c>
      <c r="C153" s="560" t="s">
        <v>1024</v>
      </c>
      <c r="D153" s="556" t="str">
        <f t="shared" si="13"/>
        <v>14.8 - [Name of sub-vote]</v>
      </c>
      <c r="E153" s="559"/>
    </row>
    <row r="154" spans="2:5" x14ac:dyDescent="0.2">
      <c r="B154" s="561">
        <v>14.9</v>
      </c>
      <c r="C154" s="560" t="s">
        <v>1024</v>
      </c>
      <c r="D154" s="556" t="str">
        <f t="shared" si="13"/>
        <v>14.9 - [Name of sub-vote]</v>
      </c>
      <c r="E154" s="559"/>
    </row>
    <row r="155" spans="2:5" x14ac:dyDescent="0.2">
      <c r="B155" s="561" t="s">
        <v>1028</v>
      </c>
      <c r="C155" s="560" t="s">
        <v>1024</v>
      </c>
      <c r="D155" s="556" t="str">
        <f t="shared" si="13"/>
        <v>14.10 - [Name of sub-vote]</v>
      </c>
      <c r="E155" s="559"/>
    </row>
    <row r="156" spans="2:5" x14ac:dyDescent="0.2">
      <c r="B156" s="563" t="s">
        <v>812</v>
      </c>
      <c r="C156" s="562" t="s">
        <v>1027</v>
      </c>
      <c r="E156" s="559"/>
    </row>
    <row r="157" spans="2:5" x14ac:dyDescent="0.2">
      <c r="B157" s="561">
        <v>15.1</v>
      </c>
      <c r="C157" s="560" t="s">
        <v>1024</v>
      </c>
      <c r="D157" s="556" t="str">
        <f t="shared" ref="D157:D166" si="14">CONCATENATE(B157, " - ", C157)</f>
        <v>15.1 - [Name of sub-vote]</v>
      </c>
      <c r="E157" s="559" t="s">
        <v>1026</v>
      </c>
    </row>
    <row r="158" spans="2:5" x14ac:dyDescent="0.2">
      <c r="B158" s="561">
        <v>15.2</v>
      </c>
      <c r="C158" s="560" t="s">
        <v>1024</v>
      </c>
      <c r="D158" s="556" t="str">
        <f t="shared" si="14"/>
        <v>15.2 - [Name of sub-vote]</v>
      </c>
      <c r="E158" s="559"/>
    </row>
    <row r="159" spans="2:5" x14ac:dyDescent="0.2">
      <c r="B159" s="561">
        <v>15.3</v>
      </c>
      <c r="C159" s="560" t="s">
        <v>1024</v>
      </c>
      <c r="D159" s="556" t="str">
        <f t="shared" si="14"/>
        <v>15.3 - [Name of sub-vote]</v>
      </c>
      <c r="E159" s="559"/>
    </row>
    <row r="160" spans="2:5" x14ac:dyDescent="0.2">
      <c r="B160" s="561">
        <v>15.4</v>
      </c>
      <c r="C160" s="560" t="s">
        <v>1024</v>
      </c>
      <c r="D160" s="556" t="str">
        <f t="shared" si="14"/>
        <v>15.4 - [Name of sub-vote]</v>
      </c>
      <c r="E160" s="559"/>
    </row>
    <row r="161" spans="2:5" x14ac:dyDescent="0.2">
      <c r="B161" s="561">
        <v>15.5</v>
      </c>
      <c r="C161" s="560" t="s">
        <v>1024</v>
      </c>
      <c r="D161" s="556" t="str">
        <f t="shared" si="14"/>
        <v>15.5 - [Name of sub-vote]</v>
      </c>
      <c r="E161" s="559"/>
    </row>
    <row r="162" spans="2:5" x14ac:dyDescent="0.2">
      <c r="B162" s="561">
        <v>15.6</v>
      </c>
      <c r="C162" s="560" t="s">
        <v>1024</v>
      </c>
      <c r="D162" s="556" t="str">
        <f t="shared" si="14"/>
        <v>15.6 - [Name of sub-vote]</v>
      </c>
      <c r="E162" s="559"/>
    </row>
    <row r="163" spans="2:5" x14ac:dyDescent="0.2">
      <c r="B163" s="561">
        <v>15.7</v>
      </c>
      <c r="C163" s="560" t="s">
        <v>1024</v>
      </c>
      <c r="D163" s="556" t="str">
        <f t="shared" si="14"/>
        <v>15.7 - [Name of sub-vote]</v>
      </c>
      <c r="E163" s="559"/>
    </row>
    <row r="164" spans="2:5" x14ac:dyDescent="0.2">
      <c r="B164" s="561">
        <v>15.8</v>
      </c>
      <c r="C164" s="560" t="s">
        <v>1024</v>
      </c>
      <c r="D164" s="556" t="str">
        <f t="shared" si="14"/>
        <v>15.8 - [Name of sub-vote]</v>
      </c>
      <c r="E164" s="559"/>
    </row>
    <row r="165" spans="2:5" x14ac:dyDescent="0.2">
      <c r="B165" s="561">
        <v>15.9</v>
      </c>
      <c r="C165" s="560" t="s">
        <v>1024</v>
      </c>
      <c r="D165" s="556" t="str">
        <f t="shared" si="14"/>
        <v>15.9 - [Name of sub-vote]</v>
      </c>
      <c r="E165" s="559"/>
    </row>
    <row r="166" spans="2:5" x14ac:dyDescent="0.2">
      <c r="B166" s="561" t="s">
        <v>1025</v>
      </c>
      <c r="C166" s="560" t="s">
        <v>1024</v>
      </c>
      <c r="D166" s="556" t="str">
        <f t="shared" si="14"/>
        <v>15.10 - [Name of sub-vote]</v>
      </c>
      <c r="E166" s="559"/>
    </row>
  </sheetData>
  <dataValidations count="15">
    <dataValidation type="list" allowBlank="1" showInputMessage="1" showErrorMessage="1" sqref="E157:E166" xr:uid="{00000000-0002-0000-0400-000000000000}">
      <formula1>Vote15</formula1>
    </dataValidation>
    <dataValidation type="list" allowBlank="1" showInputMessage="1" showErrorMessage="1" sqref="E146:E155" xr:uid="{00000000-0002-0000-0400-000001000000}">
      <formula1>Vote14</formula1>
    </dataValidation>
    <dataValidation type="list" allowBlank="1" showInputMessage="1" showErrorMessage="1" sqref="E135:E144" xr:uid="{00000000-0002-0000-0400-000002000000}">
      <formula1>Vote13</formula1>
    </dataValidation>
    <dataValidation type="list" allowBlank="1" showInputMessage="1" showErrorMessage="1" sqref="E124:E133" xr:uid="{00000000-0002-0000-0400-000003000000}">
      <formula1>Vote12</formula1>
    </dataValidation>
    <dataValidation type="list" allowBlank="1" showInputMessage="1" showErrorMessage="1" sqref="E113:E122" xr:uid="{00000000-0002-0000-0400-000004000000}">
      <formula1>Vote11</formula1>
    </dataValidation>
    <dataValidation type="list" allowBlank="1" showInputMessage="1" showErrorMessage="1" sqref="E102:E111" xr:uid="{00000000-0002-0000-0400-000005000000}">
      <formula1>Vote10</formula1>
    </dataValidation>
    <dataValidation type="list" allowBlank="1" showInputMessage="1" showErrorMessage="1" sqref="E91:E100" xr:uid="{00000000-0002-0000-0400-000006000000}">
      <formula1>Vote9</formula1>
    </dataValidation>
    <dataValidation type="list" allowBlank="1" showInputMessage="1" showErrorMessage="1" sqref="E80:E89" xr:uid="{00000000-0002-0000-0400-000007000000}">
      <formula1>Vote8</formula1>
    </dataValidation>
    <dataValidation type="list" allowBlank="1" showInputMessage="1" showErrorMessage="1" sqref="E69:E78" xr:uid="{00000000-0002-0000-0400-000008000000}">
      <formula1>Vote7</formula1>
    </dataValidation>
    <dataValidation type="list" allowBlank="1" showInputMessage="1" showErrorMessage="1" sqref="E58:E67" xr:uid="{00000000-0002-0000-0400-000009000000}">
      <formula1>Vote6</formula1>
    </dataValidation>
    <dataValidation type="list" allowBlank="1" showInputMessage="1" showErrorMessage="1" sqref="E47:E56" xr:uid="{00000000-0002-0000-0400-00000A000000}">
      <formula1>Vote5</formula1>
    </dataValidation>
    <dataValidation type="list" allowBlank="1" showInputMessage="1" showErrorMessage="1" sqref="E36:E45" xr:uid="{00000000-0002-0000-0400-00000B000000}">
      <formula1>Vote4</formula1>
    </dataValidation>
    <dataValidation type="list" allowBlank="1" showInputMessage="1" showErrorMessage="1" sqref="E25:E34" xr:uid="{00000000-0002-0000-0400-00000C000000}">
      <formula1>Vote3</formula1>
    </dataValidation>
    <dataValidation type="list" allowBlank="1" showInputMessage="1" showErrorMessage="1" sqref="E14:E23" xr:uid="{00000000-0002-0000-0400-00000D000000}">
      <formula1>Vote2</formula1>
    </dataValidation>
    <dataValidation type="list" allowBlank="1" showInputMessage="1" showErrorMessage="1" sqref="E3:E12" xr:uid="{00000000-0002-0000-0400-00000E000000}">
      <formula1>Vote1</formula1>
    </dataValidation>
  </dataValidations>
  <printOptions horizontalCentered="1"/>
  <pageMargins left="0.19685039370078741" right="0.19685039370078741" top="0.59055118110236227" bottom="0.59055118110236227" header="0.51181102362204722" footer="0.51181102362204722"/>
  <pageSetup paperSize="9" scale="75"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indexed="44"/>
    <pageSetUpPr fitToPage="1"/>
  </sheetPr>
  <dimension ref="A1:Q92"/>
  <sheetViews>
    <sheetView showGridLines="0" view="pageBreakPreview" zoomScaleNormal="100" zoomScaleSheetLayoutView="100" workbookViewId="0"/>
  </sheetViews>
  <sheetFormatPr defaultColWidth="9.140625" defaultRowHeight="12.75" x14ac:dyDescent="0.2"/>
  <cols>
    <col min="1" max="1" width="20.7109375" style="572" customWidth="1"/>
    <col min="2" max="2" width="40.7109375" style="572" customWidth="1"/>
    <col min="3" max="3" width="20.7109375" style="572" customWidth="1"/>
    <col min="4" max="4" width="40.7109375" style="572" customWidth="1"/>
    <col min="5" max="5" width="8.85546875" style="572" customWidth="1"/>
    <col min="6" max="10" width="8.7109375" style="359" customWidth="1"/>
    <col min="11" max="15" width="12.85546875" style="359" customWidth="1"/>
    <col min="16" max="17" width="30.7109375" style="359" customWidth="1"/>
    <col min="18" max="16384" width="9.140625" style="359"/>
  </cols>
  <sheetData>
    <row r="1" spans="1:17" ht="13.5" customHeight="1" x14ac:dyDescent="0.3">
      <c r="A1" s="487" t="str">
        <f>muni&amp;" - "&amp;" Contact Information"</f>
        <v>WC025 Breede Valley -  Contact Information</v>
      </c>
      <c r="B1" s="571"/>
    </row>
    <row r="2" spans="1:17" ht="13.5" customHeight="1" x14ac:dyDescent="0.2">
      <c r="B2" s="573"/>
    </row>
    <row r="3" spans="1:17" ht="13.5" customHeight="1" thickBot="1" x14ac:dyDescent="0.3">
      <c r="A3" s="574" t="s">
        <v>344</v>
      </c>
      <c r="B3" s="575"/>
    </row>
    <row r="4" spans="1:17" ht="13.5" customHeight="1" thickTop="1" x14ac:dyDescent="0.2">
      <c r="A4" s="576" t="s">
        <v>345</v>
      </c>
      <c r="B4" s="577" t="str">
        <f>muni</f>
        <v>WC025 Breede Valley</v>
      </c>
      <c r="C4" s="578" t="s">
        <v>188</v>
      </c>
      <c r="D4" s="579"/>
      <c r="F4" s="580"/>
      <c r="G4" s="580"/>
      <c r="H4" s="580"/>
      <c r="I4" s="580"/>
      <c r="J4" s="580"/>
      <c r="K4" s="581"/>
      <c r="L4" s="581"/>
      <c r="M4" s="581"/>
      <c r="N4" s="581"/>
      <c r="O4" s="581"/>
      <c r="P4" s="582"/>
    </row>
    <row r="5" spans="1:17" ht="13.5" customHeight="1" x14ac:dyDescent="0.2">
      <c r="A5" s="583"/>
      <c r="B5" s="584"/>
      <c r="C5" s="579"/>
      <c r="D5" s="579"/>
      <c r="F5" s="580"/>
      <c r="G5" s="580"/>
      <c r="H5" s="580"/>
      <c r="I5" s="580"/>
      <c r="J5" s="580"/>
      <c r="K5" s="581"/>
      <c r="L5" s="581"/>
      <c r="M5" s="581"/>
      <c r="N5" s="581"/>
      <c r="O5" s="581"/>
      <c r="P5" s="582"/>
      <c r="Q5" s="585"/>
    </row>
    <row r="6" spans="1:17" s="585" customFormat="1" ht="13.5" customHeight="1" x14ac:dyDescent="0.25">
      <c r="A6" s="586" t="s">
        <v>346</v>
      </c>
      <c r="B6" s="648">
        <v>4</v>
      </c>
      <c r="C6" s="587" t="s">
        <v>347</v>
      </c>
      <c r="E6" s="588"/>
      <c r="F6" s="580"/>
      <c r="G6" s="580"/>
      <c r="H6" s="580"/>
      <c r="I6" s="580"/>
      <c r="J6" s="580"/>
      <c r="K6" s="581"/>
      <c r="L6" s="581"/>
      <c r="M6" s="581"/>
      <c r="N6" s="581"/>
      <c r="O6" s="581"/>
      <c r="P6" s="582"/>
      <c r="Q6" s="359"/>
    </row>
    <row r="7" spans="1:17" s="585" customFormat="1" ht="13.5" customHeight="1" x14ac:dyDescent="0.2">
      <c r="A7" s="589"/>
      <c r="B7" s="590"/>
      <c r="E7" s="588"/>
      <c r="F7" s="580"/>
      <c r="G7" s="580"/>
      <c r="H7" s="580"/>
      <c r="I7" s="580"/>
      <c r="J7" s="580"/>
      <c r="K7" s="581"/>
      <c r="L7" s="581"/>
      <c r="M7" s="581"/>
      <c r="N7" s="581"/>
      <c r="O7" s="581"/>
      <c r="P7" s="582"/>
      <c r="Q7" s="359"/>
    </row>
    <row r="8" spans="1:17" s="585" customFormat="1" ht="13.5" customHeight="1" x14ac:dyDescent="0.2">
      <c r="A8" s="591" t="s">
        <v>348</v>
      </c>
      <c r="B8" s="592" t="str">
        <f>IF(B4&gt;" ",VLOOKUP(B4,'Lookup and lists'!B28:C311,2, FALSE)," ")</f>
        <v>Western Cape</v>
      </c>
      <c r="C8" s="955"/>
      <c r="D8" s="955"/>
      <c r="E8" s="588"/>
      <c r="F8" s="580"/>
      <c r="G8" s="580"/>
      <c r="H8" s="580"/>
      <c r="I8" s="580"/>
      <c r="J8" s="580"/>
      <c r="K8" s="581"/>
      <c r="L8" s="581"/>
      <c r="M8" s="581"/>
      <c r="N8" s="581"/>
      <c r="O8" s="581"/>
      <c r="P8" s="582"/>
      <c r="Q8" s="359"/>
    </row>
    <row r="9" spans="1:17" s="585" customFormat="1" ht="13.5" customHeight="1" x14ac:dyDescent="0.2">
      <c r="A9" s="594"/>
      <c r="B9" s="595"/>
      <c r="C9" s="593"/>
      <c r="D9" s="593"/>
      <c r="E9" s="588"/>
      <c r="F9" s="580"/>
      <c r="G9" s="580"/>
      <c r="H9" s="580"/>
      <c r="I9" s="580"/>
      <c r="J9" s="580"/>
      <c r="K9" s="581"/>
      <c r="L9" s="581"/>
      <c r="M9" s="581"/>
      <c r="N9" s="581"/>
      <c r="O9" s="581"/>
      <c r="P9" s="582"/>
      <c r="Q9" s="359"/>
    </row>
    <row r="10" spans="1:17" ht="13.5" customHeight="1" x14ac:dyDescent="0.2">
      <c r="A10" s="596" t="s">
        <v>349</v>
      </c>
      <c r="B10" s="649" t="s">
        <v>1438</v>
      </c>
      <c r="C10" s="597"/>
      <c r="D10" s="598"/>
      <c r="F10" s="580"/>
      <c r="G10" s="580"/>
      <c r="H10" s="580"/>
      <c r="I10" s="580"/>
      <c r="J10" s="580"/>
      <c r="K10" s="581"/>
      <c r="L10" s="581"/>
      <c r="M10" s="581"/>
      <c r="N10" s="581"/>
      <c r="O10" s="581"/>
      <c r="P10" s="582"/>
    </row>
    <row r="11" spans="1:17" ht="13.5" customHeight="1" x14ac:dyDescent="0.2">
      <c r="A11" s="599"/>
      <c r="B11" s="600"/>
      <c r="C11" s="956"/>
      <c r="D11" s="957"/>
      <c r="F11" s="580"/>
      <c r="G11" s="580"/>
      <c r="H11" s="580"/>
      <c r="I11" s="580"/>
      <c r="J11" s="580"/>
      <c r="K11" s="581"/>
      <c r="L11" s="581"/>
      <c r="M11" s="581"/>
      <c r="N11" s="581"/>
      <c r="O11" s="581"/>
      <c r="P11" s="582"/>
      <c r="Q11" s="585"/>
    </row>
    <row r="12" spans="1:17" ht="13.5" customHeight="1" x14ac:dyDescent="0.2">
      <c r="A12" s="596" t="s">
        <v>350</v>
      </c>
      <c r="B12" s="601" t="s">
        <v>1439</v>
      </c>
      <c r="C12" s="593"/>
      <c r="D12" s="593"/>
      <c r="F12" s="580"/>
      <c r="G12" s="580"/>
      <c r="H12" s="580"/>
      <c r="I12" s="580"/>
      <c r="J12" s="580"/>
      <c r="K12" s="581"/>
      <c r="L12" s="581"/>
      <c r="M12" s="581"/>
      <c r="N12" s="581"/>
      <c r="O12" s="581"/>
      <c r="P12" s="582"/>
    </row>
    <row r="13" spans="1:17" ht="13.5" customHeight="1" x14ac:dyDescent="0.2">
      <c r="A13" s="602"/>
      <c r="B13" s="603"/>
      <c r="C13" s="958"/>
      <c r="D13" s="958"/>
      <c r="F13" s="580"/>
      <c r="G13" s="580"/>
      <c r="H13" s="580"/>
      <c r="I13" s="604"/>
      <c r="J13" s="580"/>
      <c r="K13" s="581"/>
      <c r="L13" s="581"/>
      <c r="M13" s="581"/>
      <c r="N13" s="581"/>
      <c r="O13" s="581"/>
      <c r="P13" s="582"/>
    </row>
    <row r="14" spans="1:17" ht="13.5" customHeight="1" thickBot="1" x14ac:dyDescent="0.25">
      <c r="A14" s="959" t="s">
        <v>351</v>
      </c>
      <c r="B14" s="960"/>
      <c r="C14" s="588"/>
      <c r="D14" s="588"/>
      <c r="F14" s="580"/>
      <c r="G14" s="580"/>
      <c r="H14" s="604"/>
      <c r="I14" s="341"/>
      <c r="J14" s="580"/>
      <c r="K14" s="581"/>
      <c r="L14" s="581"/>
      <c r="M14" s="581"/>
      <c r="N14" s="581"/>
      <c r="O14" s="581"/>
      <c r="P14" s="582"/>
    </row>
    <row r="15" spans="1:17" ht="13.5" customHeight="1" thickTop="1" x14ac:dyDescent="0.2">
      <c r="A15" s="605" t="s">
        <v>352</v>
      </c>
      <c r="B15" s="606"/>
      <c r="F15" s="604"/>
      <c r="G15" s="580"/>
      <c r="H15" s="341"/>
      <c r="I15" s="341"/>
      <c r="J15" s="580"/>
      <c r="K15" s="581"/>
      <c r="L15" s="581"/>
      <c r="M15" s="581"/>
      <c r="N15" s="581"/>
      <c r="O15" s="581"/>
      <c r="P15" s="582"/>
    </row>
    <row r="16" spans="1:17" s="585" customFormat="1" ht="13.5" customHeight="1" x14ac:dyDescent="0.2">
      <c r="A16" s="607" t="s">
        <v>353</v>
      </c>
      <c r="B16" s="608" t="s">
        <v>1440</v>
      </c>
      <c r="C16" s="572"/>
      <c r="D16" s="572"/>
      <c r="E16" s="588"/>
      <c r="F16" s="341"/>
      <c r="G16" s="604"/>
      <c r="H16" s="341"/>
      <c r="I16" s="341"/>
      <c r="J16" s="580"/>
      <c r="K16" s="581"/>
      <c r="L16" s="581"/>
      <c r="M16" s="581"/>
      <c r="N16" s="581"/>
      <c r="O16" s="581"/>
      <c r="P16" s="582"/>
      <c r="Q16" s="359"/>
    </row>
    <row r="17" spans="1:17" ht="13.5" customHeight="1" x14ac:dyDescent="0.2">
      <c r="A17" s="607" t="s">
        <v>354</v>
      </c>
      <c r="B17" s="608" t="s">
        <v>1441</v>
      </c>
      <c r="F17" s="341"/>
      <c r="G17" s="341"/>
      <c r="H17" s="341"/>
      <c r="I17" s="341"/>
      <c r="J17" s="604"/>
      <c r="K17" s="581"/>
      <c r="L17" s="581"/>
      <c r="M17" s="581"/>
      <c r="N17" s="581"/>
      <c r="O17" s="581"/>
      <c r="P17" s="582"/>
    </row>
    <row r="18" spans="1:17" ht="13.5" customHeight="1" x14ac:dyDescent="0.2">
      <c r="A18" s="609" t="s">
        <v>355</v>
      </c>
      <c r="B18" s="610">
        <v>6849</v>
      </c>
      <c r="F18" s="341"/>
      <c r="G18" s="341"/>
      <c r="H18" s="341"/>
      <c r="I18" s="341"/>
      <c r="J18" s="341"/>
      <c r="K18" s="581"/>
      <c r="L18" s="581"/>
      <c r="M18" s="581"/>
      <c r="N18" s="581"/>
      <c r="O18" s="581"/>
      <c r="P18" s="582"/>
    </row>
    <row r="19" spans="1:17" ht="13.5" customHeight="1" x14ac:dyDescent="0.2">
      <c r="A19" s="611"/>
      <c r="B19" s="612"/>
      <c r="F19" s="341"/>
      <c r="G19" s="341"/>
      <c r="H19" s="341"/>
      <c r="I19" s="341"/>
      <c r="J19" s="341"/>
      <c r="K19" s="581"/>
      <c r="L19" s="581"/>
      <c r="M19" s="581"/>
      <c r="N19" s="581"/>
      <c r="O19" s="581"/>
      <c r="P19" s="582"/>
    </row>
    <row r="20" spans="1:17" ht="13.5" customHeight="1" x14ac:dyDescent="0.2">
      <c r="A20" s="613" t="s">
        <v>356</v>
      </c>
      <c r="B20" s="614"/>
      <c r="F20" s="341"/>
      <c r="G20" s="341"/>
      <c r="H20" s="341"/>
      <c r="I20" s="341"/>
      <c r="J20" s="341"/>
      <c r="K20" s="581"/>
      <c r="L20" s="581"/>
      <c r="M20" s="581"/>
      <c r="N20" s="581"/>
      <c r="O20" s="581"/>
      <c r="P20" s="582"/>
    </row>
    <row r="21" spans="1:17" ht="13.5" customHeight="1" x14ac:dyDescent="0.2">
      <c r="A21" s="607" t="s">
        <v>357</v>
      </c>
      <c r="B21" s="608" t="s">
        <v>1442</v>
      </c>
      <c r="F21" s="341"/>
      <c r="G21" s="341"/>
      <c r="H21" s="341"/>
      <c r="I21" s="341"/>
      <c r="J21" s="341"/>
      <c r="K21" s="581"/>
      <c r="L21" s="581"/>
      <c r="M21" s="581"/>
      <c r="N21" s="581"/>
      <c r="O21" s="581"/>
      <c r="P21" s="582"/>
    </row>
    <row r="22" spans="1:17" ht="13.5" customHeight="1" x14ac:dyDescent="0.2">
      <c r="A22" s="607" t="s">
        <v>358</v>
      </c>
      <c r="B22" s="608" t="s">
        <v>1443</v>
      </c>
      <c r="F22" s="341"/>
      <c r="G22" s="341"/>
      <c r="H22" s="341"/>
      <c r="I22" s="341"/>
      <c r="J22" s="341"/>
      <c r="K22" s="581"/>
      <c r="L22" s="581"/>
      <c r="M22" s="581"/>
      <c r="N22" s="581"/>
      <c r="O22" s="581"/>
      <c r="P22" s="582"/>
    </row>
    <row r="23" spans="1:17" ht="13.5" customHeight="1" x14ac:dyDescent="0.2">
      <c r="A23" s="607" t="s">
        <v>354</v>
      </c>
      <c r="B23" s="608" t="s">
        <v>1441</v>
      </c>
      <c r="F23" s="341"/>
      <c r="G23" s="341"/>
      <c r="H23" s="341"/>
      <c r="I23" s="341"/>
      <c r="J23" s="341"/>
      <c r="K23" s="581"/>
      <c r="L23" s="581"/>
      <c r="M23" s="581"/>
      <c r="N23" s="581"/>
      <c r="O23" s="581"/>
      <c r="P23" s="582"/>
    </row>
    <row r="24" spans="1:17" ht="13.5" customHeight="1" x14ac:dyDescent="0.2">
      <c r="A24" s="609" t="s">
        <v>355</v>
      </c>
      <c r="B24" s="610">
        <v>6850</v>
      </c>
      <c r="F24" s="341"/>
      <c r="G24" s="341"/>
      <c r="H24" s="341"/>
      <c r="I24" s="341"/>
      <c r="J24" s="341"/>
      <c r="K24" s="581"/>
      <c r="L24" s="581"/>
      <c r="M24" s="581"/>
      <c r="N24" s="581"/>
      <c r="O24" s="581"/>
      <c r="P24" s="582"/>
    </row>
    <row r="25" spans="1:17" ht="13.5" customHeight="1" x14ac:dyDescent="0.2">
      <c r="A25" s="611"/>
      <c r="B25" s="612"/>
      <c r="F25" s="341"/>
      <c r="G25" s="341"/>
      <c r="H25" s="341"/>
      <c r="I25" s="341"/>
      <c r="J25" s="341"/>
      <c r="K25" s="581"/>
      <c r="L25" s="581"/>
      <c r="M25" s="581"/>
      <c r="N25" s="581"/>
      <c r="O25" s="581"/>
      <c r="P25" s="582"/>
    </row>
    <row r="26" spans="1:17" ht="13.5" customHeight="1" x14ac:dyDescent="0.2">
      <c r="A26" s="613" t="s">
        <v>359</v>
      </c>
      <c r="B26" s="614"/>
      <c r="F26" s="341"/>
      <c r="G26" s="341"/>
      <c r="H26" s="341"/>
      <c r="I26" s="341"/>
      <c r="J26" s="341"/>
      <c r="K26" s="581"/>
      <c r="L26" s="581"/>
      <c r="M26" s="581"/>
      <c r="N26" s="581"/>
      <c r="O26" s="581"/>
      <c r="P26" s="582"/>
    </row>
    <row r="27" spans="1:17" ht="13.5" customHeight="1" x14ac:dyDescent="0.2">
      <c r="A27" s="607" t="s">
        <v>360</v>
      </c>
      <c r="B27" s="608" t="s">
        <v>1444</v>
      </c>
      <c r="F27" s="341"/>
      <c r="G27" s="341"/>
      <c r="H27" s="341"/>
      <c r="I27" s="341"/>
      <c r="J27" s="341"/>
      <c r="K27" s="581"/>
      <c r="L27" s="581"/>
      <c r="M27" s="581"/>
      <c r="N27" s="581"/>
      <c r="O27" s="581"/>
      <c r="P27" s="582"/>
    </row>
    <row r="28" spans="1:17" ht="13.5" customHeight="1" x14ac:dyDescent="0.2">
      <c r="A28" s="609" t="s">
        <v>361</v>
      </c>
      <c r="B28" s="615" t="s">
        <v>1445</v>
      </c>
      <c r="J28" s="341"/>
      <c r="K28" s="341"/>
      <c r="L28" s="341"/>
      <c r="M28" s="341"/>
      <c r="N28" s="341"/>
      <c r="O28" s="341"/>
      <c r="P28" s="582"/>
    </row>
    <row r="29" spans="1:17" ht="13.5" customHeight="1" x14ac:dyDescent="0.2">
      <c r="A29" s="611"/>
      <c r="B29" s="616"/>
      <c r="P29" s="582"/>
    </row>
    <row r="30" spans="1:17" ht="13.5" customHeight="1" thickBot="1" x14ac:dyDescent="0.25">
      <c r="A30" s="961" t="s">
        <v>362</v>
      </c>
      <c r="B30" s="962"/>
      <c r="C30" s="963"/>
      <c r="D30" s="964"/>
      <c r="P30" s="582"/>
    </row>
    <row r="31" spans="1:17" ht="13.5" customHeight="1" thickTop="1" x14ac:dyDescent="0.2">
      <c r="A31" s="613" t="s">
        <v>363</v>
      </c>
      <c r="B31" s="614"/>
      <c r="C31" s="951" t="s">
        <v>364</v>
      </c>
      <c r="D31" s="952"/>
      <c r="P31" s="582"/>
    </row>
    <row r="32" spans="1:17" s="644" customFormat="1" ht="13.5" customHeight="1" x14ac:dyDescent="0.2">
      <c r="A32" s="641" t="s">
        <v>1148</v>
      </c>
      <c r="B32" s="642" t="s">
        <v>1446</v>
      </c>
      <c r="C32" s="641" t="s">
        <v>1148</v>
      </c>
      <c r="D32" s="642" t="s">
        <v>1453</v>
      </c>
      <c r="E32" s="643"/>
      <c r="I32"/>
      <c r="J32"/>
      <c r="K32"/>
      <c r="L32"/>
      <c r="M32"/>
      <c r="N32"/>
      <c r="O32"/>
      <c r="P32" s="645"/>
      <c r="Q32"/>
    </row>
    <row r="33" spans="1:17" s="644" customFormat="1" ht="13.5" customHeight="1" x14ac:dyDescent="0.2">
      <c r="A33" s="641" t="s">
        <v>1149</v>
      </c>
      <c r="B33" s="642" t="s">
        <v>1447</v>
      </c>
      <c r="C33" s="641" t="s">
        <v>1149</v>
      </c>
      <c r="D33" s="642" t="s">
        <v>1454</v>
      </c>
      <c r="E33" s="643"/>
      <c r="I33"/>
      <c r="J33"/>
      <c r="K33"/>
      <c r="L33"/>
      <c r="M33"/>
      <c r="N33"/>
      <c r="O33"/>
      <c r="P33" s="645"/>
      <c r="Q33"/>
    </row>
    <row r="34" spans="1:17" ht="13.5" customHeight="1" x14ac:dyDescent="0.2">
      <c r="A34" s="607" t="s">
        <v>365</v>
      </c>
      <c r="B34" s="608" t="s">
        <v>1448</v>
      </c>
      <c r="C34" s="607" t="s">
        <v>365</v>
      </c>
      <c r="D34" s="608" t="s">
        <v>1455</v>
      </c>
      <c r="P34" s="582"/>
    </row>
    <row r="35" spans="1:17" ht="13.5" customHeight="1" x14ac:dyDescent="0.2">
      <c r="A35" s="607" t="s">
        <v>360</v>
      </c>
      <c r="B35" s="608" t="s">
        <v>1449</v>
      </c>
      <c r="C35" s="607" t="s">
        <v>360</v>
      </c>
      <c r="D35" s="608" t="s">
        <v>1456</v>
      </c>
      <c r="F35" s="580"/>
      <c r="G35" s="581"/>
      <c r="P35" s="582"/>
    </row>
    <row r="36" spans="1:17" ht="13.5" customHeight="1" x14ac:dyDescent="0.2">
      <c r="A36" s="607" t="s">
        <v>366</v>
      </c>
      <c r="B36" s="608" t="s">
        <v>1450</v>
      </c>
      <c r="C36" s="607" t="s">
        <v>366</v>
      </c>
      <c r="D36" s="608" t="s">
        <v>1457</v>
      </c>
      <c r="F36" s="580"/>
      <c r="G36" s="581"/>
      <c r="P36" s="582"/>
    </row>
    <row r="37" spans="1:17" ht="13.5" customHeight="1" x14ac:dyDescent="0.2">
      <c r="A37" s="607" t="s">
        <v>361</v>
      </c>
      <c r="B37" s="608" t="s">
        <v>1451</v>
      </c>
      <c r="C37" s="607" t="s">
        <v>361</v>
      </c>
      <c r="D37" s="608" t="s">
        <v>1451</v>
      </c>
      <c r="F37" s="580"/>
      <c r="G37" s="581"/>
      <c r="P37" s="582"/>
    </row>
    <row r="38" spans="1:17" ht="13.5" customHeight="1" x14ac:dyDescent="0.2">
      <c r="A38" s="607" t="s">
        <v>367</v>
      </c>
      <c r="B38" s="650" t="s">
        <v>1452</v>
      </c>
      <c r="C38" s="607" t="s">
        <v>367</v>
      </c>
      <c r="D38" s="650" t="s">
        <v>1458</v>
      </c>
      <c r="F38" s="580"/>
      <c r="G38" s="581"/>
      <c r="P38" s="582"/>
    </row>
    <row r="39" spans="1:17" ht="13.5" customHeight="1" x14ac:dyDescent="0.2">
      <c r="A39" s="607"/>
      <c r="B39" s="608"/>
      <c r="C39" s="607"/>
      <c r="D39" s="608"/>
      <c r="F39" s="580"/>
      <c r="G39" s="581"/>
      <c r="P39" s="582"/>
    </row>
    <row r="40" spans="1:17" ht="13.5" customHeight="1" x14ac:dyDescent="0.2">
      <c r="A40" s="953" t="s">
        <v>368</v>
      </c>
      <c r="B40" s="954"/>
      <c r="C40" s="953" t="s">
        <v>369</v>
      </c>
      <c r="D40" s="954"/>
      <c r="F40" s="580"/>
      <c r="G40" s="581"/>
      <c r="P40" s="582"/>
    </row>
    <row r="41" spans="1:17" s="644" customFormat="1" ht="13.5" customHeight="1" x14ac:dyDescent="0.2">
      <c r="A41" s="641" t="s">
        <v>1148</v>
      </c>
      <c r="B41" s="642" t="s">
        <v>1459</v>
      </c>
      <c r="C41" s="641" t="s">
        <v>1148</v>
      </c>
      <c r="D41" s="642" t="s">
        <v>1511</v>
      </c>
      <c r="E41" s="643"/>
      <c r="I41"/>
      <c r="J41"/>
      <c r="K41"/>
      <c r="L41"/>
      <c r="M41"/>
      <c r="N41"/>
      <c r="O41"/>
      <c r="P41" s="645"/>
      <c r="Q41"/>
    </row>
    <row r="42" spans="1:17" s="644" customFormat="1" ht="13.5" customHeight="1" x14ac:dyDescent="0.2">
      <c r="A42" s="641" t="s">
        <v>1149</v>
      </c>
      <c r="B42" s="642" t="s">
        <v>1454</v>
      </c>
      <c r="C42" s="641" t="s">
        <v>1149</v>
      </c>
      <c r="D42" s="642" t="s">
        <v>1454</v>
      </c>
      <c r="E42" s="643"/>
      <c r="I42"/>
      <c r="J42"/>
      <c r="K42"/>
      <c r="L42"/>
      <c r="M42"/>
      <c r="N42"/>
      <c r="O42"/>
      <c r="P42" s="645"/>
      <c r="Q42"/>
    </row>
    <row r="43" spans="1:17" ht="13.5" customHeight="1" x14ac:dyDescent="0.2">
      <c r="A43" s="607" t="s">
        <v>365</v>
      </c>
      <c r="B43" s="608" t="s">
        <v>1460</v>
      </c>
      <c r="C43" s="607" t="s">
        <v>365</v>
      </c>
      <c r="D43" s="608" t="s">
        <v>1512</v>
      </c>
      <c r="F43" s="580"/>
      <c r="G43" s="581"/>
      <c r="P43" s="582"/>
    </row>
    <row r="44" spans="1:17" ht="13.5" customHeight="1" x14ac:dyDescent="0.2">
      <c r="A44" s="607" t="s">
        <v>360</v>
      </c>
      <c r="B44" s="608" t="s">
        <v>1461</v>
      </c>
      <c r="C44" s="607" t="s">
        <v>360</v>
      </c>
      <c r="D44" s="608" t="s">
        <v>1513</v>
      </c>
      <c r="F44" s="604"/>
      <c r="G44" s="581"/>
      <c r="P44" s="582"/>
    </row>
    <row r="45" spans="1:17" ht="13.5" customHeight="1" x14ac:dyDescent="0.2">
      <c r="A45" s="607" t="s">
        <v>366</v>
      </c>
      <c r="B45" s="608" t="s">
        <v>1462</v>
      </c>
      <c r="C45" s="607" t="s">
        <v>366</v>
      </c>
      <c r="D45" s="608" t="s">
        <v>1514</v>
      </c>
      <c r="F45" s="341"/>
      <c r="G45" s="581"/>
      <c r="P45" s="582"/>
    </row>
    <row r="46" spans="1:17" ht="13.5" customHeight="1" x14ac:dyDescent="0.2">
      <c r="A46" s="607" t="s">
        <v>361</v>
      </c>
      <c r="B46" s="608" t="s">
        <v>1451</v>
      </c>
      <c r="C46" s="607" t="s">
        <v>361</v>
      </c>
      <c r="D46" s="608" t="s">
        <v>1451</v>
      </c>
      <c r="F46" s="341"/>
      <c r="G46" s="581"/>
      <c r="P46" s="582"/>
    </row>
    <row r="47" spans="1:17" ht="13.5" customHeight="1" x14ac:dyDescent="0.2">
      <c r="A47" s="617" t="s">
        <v>367</v>
      </c>
      <c r="B47" s="651" t="s">
        <v>1463</v>
      </c>
      <c r="C47" s="617" t="s">
        <v>367</v>
      </c>
      <c r="D47" s="651" t="s">
        <v>1515</v>
      </c>
      <c r="F47" s="341"/>
      <c r="G47" s="581"/>
      <c r="P47" s="582"/>
    </row>
    <row r="48" spans="1:17" ht="13.5" customHeight="1" x14ac:dyDescent="0.2">
      <c r="A48" s="611"/>
      <c r="B48" s="616"/>
      <c r="C48" s="611"/>
      <c r="D48" s="616"/>
      <c r="F48" s="341"/>
      <c r="G48" s="581"/>
      <c r="P48" s="582"/>
    </row>
    <row r="49" spans="1:17" ht="13.5" customHeight="1" x14ac:dyDescent="0.2">
      <c r="A49" s="953" t="s">
        <v>370</v>
      </c>
      <c r="B49" s="954"/>
      <c r="C49" s="953" t="s">
        <v>371</v>
      </c>
      <c r="D49" s="954"/>
      <c r="F49" s="341"/>
      <c r="G49" s="581"/>
      <c r="P49" s="582"/>
    </row>
    <row r="50" spans="1:17" s="644" customFormat="1" ht="13.5" customHeight="1" x14ac:dyDescent="0.2">
      <c r="A50" s="641" t="s">
        <v>1148</v>
      </c>
      <c r="B50" s="642" t="s">
        <v>1464</v>
      </c>
      <c r="C50" s="641" t="s">
        <v>1148</v>
      </c>
      <c r="D50" s="642" t="s">
        <v>1469</v>
      </c>
      <c r="E50" s="643"/>
      <c r="I50"/>
      <c r="J50"/>
      <c r="K50"/>
      <c r="L50"/>
      <c r="M50"/>
      <c r="N50"/>
      <c r="O50"/>
      <c r="P50" s="645"/>
      <c r="Q50"/>
    </row>
    <row r="51" spans="1:17" s="644" customFormat="1" ht="13.5" customHeight="1" x14ac:dyDescent="0.2">
      <c r="A51" s="641" t="s">
        <v>1149</v>
      </c>
      <c r="B51" s="642" t="s">
        <v>1447</v>
      </c>
      <c r="C51" s="641" t="s">
        <v>1149</v>
      </c>
      <c r="D51" s="642" t="s">
        <v>1470</v>
      </c>
      <c r="E51" s="643"/>
      <c r="I51"/>
      <c r="J51"/>
      <c r="K51"/>
      <c r="L51"/>
      <c r="M51"/>
      <c r="N51"/>
      <c r="O51"/>
      <c r="P51" s="645"/>
      <c r="Q51"/>
    </row>
    <row r="52" spans="1:17" ht="13.5" customHeight="1" x14ac:dyDescent="0.2">
      <c r="A52" s="607" t="s">
        <v>365</v>
      </c>
      <c r="B52" s="608" t="s">
        <v>1465</v>
      </c>
      <c r="C52" s="607" t="s">
        <v>365</v>
      </c>
      <c r="D52" s="608" t="s">
        <v>1471</v>
      </c>
      <c r="F52" s="341"/>
      <c r="G52" s="581"/>
      <c r="P52" s="582"/>
    </row>
    <row r="53" spans="1:17" ht="13.5" customHeight="1" x14ac:dyDescent="0.2">
      <c r="A53" s="607" t="s">
        <v>360</v>
      </c>
      <c r="B53" s="608" t="s">
        <v>1466</v>
      </c>
      <c r="C53" s="607" t="s">
        <v>360</v>
      </c>
      <c r="D53" s="608" t="s">
        <v>1472</v>
      </c>
      <c r="F53" s="341"/>
      <c r="G53" s="581"/>
      <c r="P53" s="582"/>
    </row>
    <row r="54" spans="1:17" ht="13.5" customHeight="1" x14ac:dyDescent="0.2">
      <c r="A54" s="607" t="s">
        <v>366</v>
      </c>
      <c r="B54" s="608" t="s">
        <v>1467</v>
      </c>
      <c r="C54" s="607" t="s">
        <v>366</v>
      </c>
      <c r="D54" s="608" t="s">
        <v>1473</v>
      </c>
      <c r="F54" s="341"/>
      <c r="G54" s="581"/>
      <c r="P54" s="582"/>
    </row>
    <row r="55" spans="1:17" ht="13.5" customHeight="1" x14ac:dyDescent="0.2">
      <c r="A55" s="607" t="s">
        <v>361</v>
      </c>
      <c r="B55" s="608" t="s">
        <v>1451</v>
      </c>
      <c r="C55" s="607" t="s">
        <v>361</v>
      </c>
      <c r="D55" s="608" t="s">
        <v>1451</v>
      </c>
      <c r="F55" s="341"/>
      <c r="G55" s="581"/>
      <c r="P55" s="582"/>
    </row>
    <row r="56" spans="1:17" ht="13.5" customHeight="1" x14ac:dyDescent="0.2">
      <c r="A56" s="609" t="s">
        <v>367</v>
      </c>
      <c r="B56" s="652" t="s">
        <v>1468</v>
      </c>
      <c r="C56" s="609" t="s">
        <v>367</v>
      </c>
      <c r="D56" s="652" t="s">
        <v>1474</v>
      </c>
      <c r="F56" s="341"/>
      <c r="G56" s="581"/>
      <c r="P56" s="582"/>
    </row>
    <row r="57" spans="1:17" ht="13.5" customHeight="1" x14ac:dyDescent="0.2">
      <c r="A57" s="611"/>
      <c r="B57" s="616"/>
      <c r="C57" s="611"/>
      <c r="D57" s="616"/>
      <c r="F57" s="341"/>
      <c r="G57" s="581"/>
      <c r="P57" s="582"/>
    </row>
    <row r="58" spans="1:17" ht="13.5" customHeight="1" thickBot="1" x14ac:dyDescent="0.25">
      <c r="A58" s="965" t="s">
        <v>372</v>
      </c>
      <c r="B58" s="966"/>
      <c r="C58" s="963"/>
      <c r="D58" s="969"/>
      <c r="F58" s="341"/>
      <c r="G58" s="581"/>
      <c r="P58" s="582"/>
    </row>
    <row r="59" spans="1:17" ht="13.5" customHeight="1" thickTop="1" x14ac:dyDescent="0.2">
      <c r="A59" s="613" t="s">
        <v>373</v>
      </c>
      <c r="B59" s="614"/>
      <c r="C59" s="951" t="s">
        <v>374</v>
      </c>
      <c r="D59" s="970"/>
      <c r="F59" s="341"/>
      <c r="G59" s="581"/>
      <c r="P59" s="582"/>
    </row>
    <row r="60" spans="1:17" s="644" customFormat="1" ht="13.5" customHeight="1" x14ac:dyDescent="0.2">
      <c r="A60" s="641" t="s">
        <v>1148</v>
      </c>
      <c r="B60" s="642" t="s">
        <v>1475</v>
      </c>
      <c r="C60" s="641" t="s">
        <v>1148</v>
      </c>
      <c r="D60" s="642" t="s">
        <v>1480</v>
      </c>
      <c r="E60" s="643"/>
      <c r="I60"/>
      <c r="J60"/>
      <c r="K60"/>
      <c r="L60"/>
      <c r="M60"/>
      <c r="N60"/>
      <c r="O60"/>
      <c r="P60" s="645"/>
      <c r="Q60"/>
    </row>
    <row r="61" spans="1:17" s="644" customFormat="1" ht="13.5" customHeight="1" x14ac:dyDescent="0.2">
      <c r="A61" s="641" t="s">
        <v>1149</v>
      </c>
      <c r="B61" s="642" t="s">
        <v>1447</v>
      </c>
      <c r="C61" s="641" t="s">
        <v>1149</v>
      </c>
      <c r="D61" s="642" t="s">
        <v>1470</v>
      </c>
      <c r="E61" s="643"/>
      <c r="I61"/>
      <c r="J61"/>
      <c r="K61"/>
      <c r="L61"/>
      <c r="M61"/>
      <c r="N61"/>
      <c r="O61"/>
      <c r="P61" s="645"/>
      <c r="Q61"/>
    </row>
    <row r="62" spans="1:17" ht="13.5" customHeight="1" x14ac:dyDescent="0.2">
      <c r="A62" s="607" t="s">
        <v>365</v>
      </c>
      <c r="B62" s="608" t="s">
        <v>1476</v>
      </c>
      <c r="C62" s="607" t="s">
        <v>365</v>
      </c>
      <c r="D62" s="608" t="s">
        <v>1481</v>
      </c>
      <c r="F62" s="341"/>
      <c r="G62" s="581"/>
      <c r="P62" s="582"/>
    </row>
    <row r="63" spans="1:17" ht="13.5" customHeight="1" x14ac:dyDescent="0.2">
      <c r="A63" s="607" t="s">
        <v>360</v>
      </c>
      <c r="B63" s="608" t="s">
        <v>1477</v>
      </c>
      <c r="C63" s="607" t="s">
        <v>360</v>
      </c>
      <c r="D63" s="608" t="s">
        <v>1482</v>
      </c>
      <c r="F63" s="341"/>
      <c r="G63" s="581"/>
      <c r="P63" s="582"/>
    </row>
    <row r="64" spans="1:17" ht="13.5" customHeight="1" x14ac:dyDescent="0.2">
      <c r="A64" s="607" t="s">
        <v>366</v>
      </c>
      <c r="B64" s="608" t="s">
        <v>1478</v>
      </c>
      <c r="C64" s="607" t="s">
        <v>366</v>
      </c>
      <c r="D64" s="608" t="s">
        <v>1483</v>
      </c>
      <c r="F64" s="341"/>
      <c r="G64" s="581"/>
      <c r="P64" s="582"/>
    </row>
    <row r="65" spans="1:17" ht="13.5" customHeight="1" x14ac:dyDescent="0.2">
      <c r="A65" s="607" t="s">
        <v>361</v>
      </c>
      <c r="B65" s="608" t="s">
        <v>1445</v>
      </c>
      <c r="C65" s="607" t="s">
        <v>361</v>
      </c>
      <c r="D65" s="608" t="s">
        <v>1445</v>
      </c>
      <c r="F65" s="341"/>
      <c r="G65" s="581"/>
      <c r="P65" s="582"/>
    </row>
    <row r="66" spans="1:17" ht="13.5" customHeight="1" x14ac:dyDescent="0.2">
      <c r="A66" s="609" t="s">
        <v>367</v>
      </c>
      <c r="B66" s="652" t="s">
        <v>1479</v>
      </c>
      <c r="C66" s="609" t="s">
        <v>367</v>
      </c>
      <c r="D66" s="652" t="s">
        <v>1484</v>
      </c>
      <c r="F66" s="341"/>
      <c r="G66" s="581"/>
      <c r="P66" s="582"/>
    </row>
    <row r="67" spans="1:17" ht="13.5" customHeight="1" x14ac:dyDescent="0.2">
      <c r="A67" s="611"/>
      <c r="B67" s="616"/>
      <c r="C67" s="611"/>
      <c r="D67" s="616"/>
      <c r="F67" s="341"/>
      <c r="G67" s="581"/>
      <c r="P67" s="582"/>
    </row>
    <row r="68" spans="1:17" ht="13.5" customHeight="1" x14ac:dyDescent="0.2">
      <c r="A68" s="618" t="s">
        <v>375</v>
      </c>
      <c r="B68" s="614"/>
      <c r="C68" s="953" t="s">
        <v>376</v>
      </c>
      <c r="D68" s="971"/>
      <c r="F68" s="341"/>
      <c r="G68" s="581"/>
      <c r="P68" s="582"/>
    </row>
    <row r="69" spans="1:17" s="644" customFormat="1" ht="13.5" customHeight="1" x14ac:dyDescent="0.2">
      <c r="A69" s="641" t="s">
        <v>1148</v>
      </c>
      <c r="B69" s="642" t="s">
        <v>1485</v>
      </c>
      <c r="C69" s="641" t="s">
        <v>1148</v>
      </c>
      <c r="D69" s="642" t="s">
        <v>1491</v>
      </c>
      <c r="E69" s="643"/>
      <c r="I69"/>
      <c r="J69"/>
      <c r="K69"/>
      <c r="L69"/>
      <c r="M69"/>
      <c r="N69"/>
      <c r="O69"/>
      <c r="P69" s="645"/>
      <c r="Q69"/>
    </row>
    <row r="70" spans="1:17" s="644" customFormat="1" ht="13.5" customHeight="1" x14ac:dyDescent="0.2">
      <c r="A70" s="641" t="s">
        <v>1149</v>
      </c>
      <c r="B70" s="642" t="s">
        <v>1447</v>
      </c>
      <c r="C70" s="641" t="s">
        <v>1149</v>
      </c>
      <c r="D70" s="642" t="s">
        <v>1454</v>
      </c>
      <c r="E70" s="643"/>
      <c r="I70"/>
      <c r="J70"/>
      <c r="K70"/>
      <c r="L70"/>
      <c r="M70"/>
      <c r="N70"/>
      <c r="O70"/>
      <c r="P70" s="645"/>
      <c r="Q70"/>
    </row>
    <row r="71" spans="1:17" ht="13.5" customHeight="1" x14ac:dyDescent="0.2">
      <c r="A71" s="607" t="s">
        <v>365</v>
      </c>
      <c r="B71" s="608" t="s">
        <v>1486</v>
      </c>
      <c r="C71" s="607" t="s">
        <v>365</v>
      </c>
      <c r="D71" s="608" t="s">
        <v>1492</v>
      </c>
      <c r="F71" s="341"/>
      <c r="G71" s="581"/>
      <c r="P71" s="582"/>
    </row>
    <row r="72" spans="1:17" ht="13.5" customHeight="1" x14ac:dyDescent="0.2">
      <c r="A72" s="607" t="s">
        <v>360</v>
      </c>
      <c r="B72" s="608" t="s">
        <v>1487</v>
      </c>
      <c r="C72" s="607" t="s">
        <v>360</v>
      </c>
      <c r="D72" s="608" t="s">
        <v>1493</v>
      </c>
      <c r="F72" s="341"/>
      <c r="G72" s="581"/>
      <c r="P72" s="582"/>
    </row>
    <row r="73" spans="1:17" ht="13.5" customHeight="1" x14ac:dyDescent="0.2">
      <c r="A73" s="607" t="s">
        <v>366</v>
      </c>
      <c r="B73" s="608" t="s">
        <v>1488</v>
      </c>
      <c r="C73" s="607" t="s">
        <v>366</v>
      </c>
      <c r="D73" s="608" t="s">
        <v>1494</v>
      </c>
      <c r="F73" s="341"/>
      <c r="G73" s="581"/>
      <c r="P73" s="582"/>
    </row>
    <row r="74" spans="1:17" ht="13.5" customHeight="1" x14ac:dyDescent="0.2">
      <c r="A74" s="607" t="s">
        <v>361</v>
      </c>
      <c r="B74" s="608" t="s">
        <v>1489</v>
      </c>
      <c r="C74" s="607" t="s">
        <v>361</v>
      </c>
      <c r="D74" s="608" t="s">
        <v>1489</v>
      </c>
      <c r="F74" s="341"/>
      <c r="G74" s="581"/>
      <c r="P74" s="582"/>
    </row>
    <row r="75" spans="1:17" ht="13.5" customHeight="1" x14ac:dyDescent="0.2">
      <c r="A75" s="609" t="s">
        <v>367</v>
      </c>
      <c r="B75" s="652" t="s">
        <v>1490</v>
      </c>
      <c r="C75" s="609" t="s">
        <v>367</v>
      </c>
      <c r="D75" s="652" t="s">
        <v>1495</v>
      </c>
      <c r="F75" s="341"/>
      <c r="G75" s="581"/>
      <c r="P75" s="582"/>
    </row>
    <row r="76" spans="1:17" ht="13.5" customHeight="1" x14ac:dyDescent="0.2">
      <c r="A76" s="611"/>
      <c r="B76" s="616"/>
      <c r="C76" s="611"/>
      <c r="D76" s="616"/>
      <c r="F76" s="341"/>
      <c r="G76" s="581"/>
      <c r="P76" s="582"/>
    </row>
    <row r="77" spans="1:17" s="644" customFormat="1" ht="13.5" customHeight="1" x14ac:dyDescent="0.2">
      <c r="A77" s="967" t="s">
        <v>377</v>
      </c>
      <c r="B77" s="968"/>
      <c r="C77" s="967" t="s">
        <v>377</v>
      </c>
      <c r="D77" s="968"/>
      <c r="E77" s="643"/>
      <c r="F77" s="646"/>
      <c r="G77" s="647"/>
      <c r="I77"/>
      <c r="J77"/>
      <c r="K77"/>
      <c r="L77"/>
      <c r="M77"/>
      <c r="N77"/>
      <c r="O77"/>
      <c r="P77" s="645"/>
    </row>
    <row r="78" spans="1:17" s="644" customFormat="1" ht="13.5" customHeight="1" x14ac:dyDescent="0.2">
      <c r="A78" s="641" t="s">
        <v>1148</v>
      </c>
      <c r="B78" s="642" t="s">
        <v>1496</v>
      </c>
      <c r="C78" s="641" t="s">
        <v>1148</v>
      </c>
      <c r="D78" s="642" t="s">
        <v>1501</v>
      </c>
      <c r="E78" s="643"/>
      <c r="I78"/>
      <c r="J78"/>
      <c r="K78"/>
      <c r="L78"/>
      <c r="M78"/>
      <c r="N78"/>
      <c r="O78"/>
      <c r="P78" s="645"/>
      <c r="Q78"/>
    </row>
    <row r="79" spans="1:17" s="644" customFormat="1" ht="13.5" customHeight="1" x14ac:dyDescent="0.2">
      <c r="A79" s="641" t="s">
        <v>1149</v>
      </c>
      <c r="B79" s="642" t="s">
        <v>1454</v>
      </c>
      <c r="C79" s="641" t="s">
        <v>1149</v>
      </c>
      <c r="D79" s="642" t="s">
        <v>1447</v>
      </c>
      <c r="E79" s="643"/>
      <c r="I79"/>
      <c r="J79"/>
      <c r="K79"/>
      <c r="L79"/>
      <c r="M79"/>
      <c r="N79"/>
      <c r="O79"/>
      <c r="P79" s="645"/>
      <c r="Q79"/>
    </row>
    <row r="80" spans="1:17" s="644" customFormat="1" ht="13.5" customHeight="1" x14ac:dyDescent="0.2">
      <c r="A80" s="641" t="s">
        <v>365</v>
      </c>
      <c r="B80" s="642" t="s">
        <v>1497</v>
      </c>
      <c r="C80" s="641" t="s">
        <v>365</v>
      </c>
      <c r="D80" s="642" t="s">
        <v>1502</v>
      </c>
      <c r="E80" s="643"/>
      <c r="F80" s="646"/>
      <c r="G80" s="647"/>
      <c r="I80"/>
      <c r="J80"/>
      <c r="K80"/>
      <c r="L80"/>
      <c r="M80"/>
      <c r="N80"/>
      <c r="O80"/>
      <c r="P80" s="645"/>
    </row>
    <row r="81" spans="1:17" s="644" customFormat="1" ht="13.5" customHeight="1" x14ac:dyDescent="0.2">
      <c r="A81" s="641" t="s">
        <v>360</v>
      </c>
      <c r="B81" s="642" t="s">
        <v>1498</v>
      </c>
      <c r="C81" s="641" t="s">
        <v>360</v>
      </c>
      <c r="D81" s="642" t="s">
        <v>1503</v>
      </c>
      <c r="E81" s="643"/>
      <c r="F81" s="646"/>
      <c r="G81" s="647"/>
      <c r="I81"/>
      <c r="J81"/>
      <c r="K81"/>
      <c r="L81"/>
      <c r="M81"/>
      <c r="N81"/>
      <c r="O81"/>
      <c r="P81" s="645"/>
    </row>
    <row r="82" spans="1:17" s="644" customFormat="1" ht="13.5" customHeight="1" x14ac:dyDescent="0.2">
      <c r="A82" s="641" t="s">
        <v>366</v>
      </c>
      <c r="B82" s="642" t="s">
        <v>1499</v>
      </c>
      <c r="C82" s="641" t="s">
        <v>366</v>
      </c>
      <c r="D82" s="642" t="s">
        <v>1504</v>
      </c>
      <c r="E82" s="643"/>
      <c r="F82" s="646"/>
      <c r="G82" s="647"/>
      <c r="I82"/>
      <c r="J82"/>
      <c r="K82"/>
      <c r="L82"/>
      <c r="M82"/>
      <c r="N82"/>
      <c r="O82"/>
      <c r="P82" s="645"/>
    </row>
    <row r="83" spans="1:17" s="644" customFormat="1" ht="13.5" customHeight="1" x14ac:dyDescent="0.2">
      <c r="A83" s="641" t="s">
        <v>361</v>
      </c>
      <c r="B83" s="642" t="s">
        <v>1489</v>
      </c>
      <c r="C83" s="641" t="s">
        <v>361</v>
      </c>
      <c r="D83" s="642" t="s">
        <v>1489</v>
      </c>
      <c r="E83" s="643"/>
      <c r="F83" s="646"/>
      <c r="G83" s="647"/>
      <c r="I83"/>
      <c r="J83"/>
      <c r="K83"/>
      <c r="L83"/>
      <c r="M83"/>
      <c r="N83"/>
      <c r="O83"/>
      <c r="P83" s="645"/>
    </row>
    <row r="84" spans="1:17" s="644" customFormat="1" ht="13.5" customHeight="1" x14ac:dyDescent="0.2">
      <c r="A84" s="641" t="s">
        <v>367</v>
      </c>
      <c r="B84" s="653" t="s">
        <v>1500</v>
      </c>
      <c r="C84" s="641" t="s">
        <v>367</v>
      </c>
      <c r="D84" s="653" t="s">
        <v>1505</v>
      </c>
      <c r="E84" s="643"/>
      <c r="F84" s="646"/>
      <c r="G84" s="647"/>
      <c r="I84"/>
      <c r="J84"/>
      <c r="K84"/>
      <c r="L84"/>
      <c r="M84"/>
      <c r="N84"/>
      <c r="O84"/>
      <c r="P84" s="645"/>
    </row>
    <row r="85" spans="1:17" s="644" customFormat="1" ht="13.5" customHeight="1" x14ac:dyDescent="0.2">
      <c r="A85" s="967" t="s">
        <v>377</v>
      </c>
      <c r="B85" s="968"/>
      <c r="C85" s="967" t="s">
        <v>377</v>
      </c>
      <c r="D85" s="968"/>
      <c r="E85" s="643"/>
      <c r="F85" s="646"/>
      <c r="G85" s="647"/>
      <c r="I85"/>
      <c r="J85"/>
      <c r="K85"/>
      <c r="L85"/>
      <c r="M85"/>
      <c r="N85"/>
      <c r="O85"/>
      <c r="P85" s="645"/>
    </row>
    <row r="86" spans="1:17" s="644" customFormat="1" ht="13.5" customHeight="1" x14ac:dyDescent="0.2">
      <c r="A86" s="641" t="s">
        <v>1148</v>
      </c>
      <c r="B86" s="642" t="s">
        <v>1506</v>
      </c>
      <c r="C86" s="641" t="s">
        <v>1148</v>
      </c>
      <c r="D86" s="642"/>
      <c r="E86" s="643"/>
      <c r="I86"/>
      <c r="J86"/>
      <c r="K86"/>
      <c r="L86"/>
      <c r="M86"/>
      <c r="N86"/>
      <c r="O86"/>
      <c r="P86" s="645"/>
      <c r="Q86"/>
    </row>
    <row r="87" spans="1:17" s="644" customFormat="1" ht="13.5" customHeight="1" x14ac:dyDescent="0.2">
      <c r="A87" s="641" t="s">
        <v>1149</v>
      </c>
      <c r="B87" s="642" t="s">
        <v>1454</v>
      </c>
      <c r="C87" s="641" t="s">
        <v>1149</v>
      </c>
      <c r="D87" s="642"/>
      <c r="E87" s="643"/>
      <c r="I87"/>
      <c r="J87"/>
      <c r="K87"/>
      <c r="L87"/>
      <c r="M87"/>
      <c r="N87"/>
      <c r="O87"/>
      <c r="P87" s="645"/>
      <c r="Q87"/>
    </row>
    <row r="88" spans="1:17" s="644" customFormat="1" ht="13.5" customHeight="1" x14ac:dyDescent="0.2">
      <c r="A88" s="641" t="s">
        <v>365</v>
      </c>
      <c r="B88" s="642" t="s">
        <v>1507</v>
      </c>
      <c r="C88" s="641" t="s">
        <v>365</v>
      </c>
      <c r="D88" s="642"/>
      <c r="E88" s="643"/>
      <c r="F88" s="646"/>
      <c r="G88" s="647"/>
      <c r="I88"/>
      <c r="J88"/>
      <c r="K88"/>
      <c r="L88"/>
      <c r="M88"/>
      <c r="N88"/>
      <c r="O88"/>
      <c r="P88" s="645"/>
    </row>
    <row r="89" spans="1:17" s="644" customFormat="1" ht="13.5" customHeight="1" x14ac:dyDescent="0.2">
      <c r="A89" s="641" t="s">
        <v>360</v>
      </c>
      <c r="B89" s="642" t="s">
        <v>1508</v>
      </c>
      <c r="C89" s="641" t="s">
        <v>360</v>
      </c>
      <c r="D89" s="642"/>
      <c r="E89" s="643"/>
      <c r="F89" s="646"/>
      <c r="G89" s="647"/>
      <c r="I89"/>
      <c r="J89"/>
      <c r="K89"/>
      <c r="L89"/>
      <c r="M89"/>
      <c r="N89"/>
      <c r="O89"/>
      <c r="P89" s="645"/>
    </row>
    <row r="90" spans="1:17" s="644" customFormat="1" ht="13.5" customHeight="1" x14ac:dyDescent="0.2">
      <c r="A90" s="641" t="s">
        <v>366</v>
      </c>
      <c r="B90" s="642" t="s">
        <v>1509</v>
      </c>
      <c r="C90" s="641" t="s">
        <v>366</v>
      </c>
      <c r="D90" s="642"/>
      <c r="E90" s="643"/>
      <c r="F90" s="646"/>
      <c r="G90" s="647"/>
      <c r="I90"/>
      <c r="J90"/>
      <c r="K90"/>
      <c r="L90"/>
      <c r="M90"/>
      <c r="N90"/>
      <c r="O90"/>
      <c r="P90" s="645"/>
    </row>
    <row r="91" spans="1:17" s="644" customFormat="1" ht="13.5" customHeight="1" x14ac:dyDescent="0.2">
      <c r="A91" s="641" t="s">
        <v>361</v>
      </c>
      <c r="B91" s="642" t="s">
        <v>1489</v>
      </c>
      <c r="C91" s="641" t="s">
        <v>361</v>
      </c>
      <c r="D91" s="642"/>
      <c r="E91" s="643"/>
      <c r="F91" s="646"/>
      <c r="G91" s="647"/>
      <c r="I91"/>
      <c r="J91"/>
      <c r="K91"/>
      <c r="L91"/>
      <c r="M91"/>
      <c r="N91"/>
      <c r="O91"/>
      <c r="P91" s="645"/>
    </row>
    <row r="92" spans="1:17" s="644" customFormat="1" ht="13.5" customHeight="1" x14ac:dyDescent="0.2">
      <c r="A92" s="641" t="s">
        <v>367</v>
      </c>
      <c r="B92" s="653" t="s">
        <v>1510</v>
      </c>
      <c r="C92" s="641" t="s">
        <v>367</v>
      </c>
      <c r="D92" s="642"/>
      <c r="E92" s="643"/>
      <c r="F92" s="646"/>
      <c r="G92" s="647"/>
      <c r="I92"/>
      <c r="J92"/>
      <c r="K92"/>
      <c r="L92"/>
      <c r="M92"/>
      <c r="N92"/>
      <c r="O92"/>
      <c r="P92" s="645"/>
    </row>
  </sheetData>
  <mergeCells count="19">
    <mergeCell ref="A49:B49"/>
    <mergeCell ref="C49:D49"/>
    <mergeCell ref="A58:B58"/>
    <mergeCell ref="A85:B85"/>
    <mergeCell ref="C85:D85"/>
    <mergeCell ref="C58:D58"/>
    <mergeCell ref="C59:D59"/>
    <mergeCell ref="C68:D68"/>
    <mergeCell ref="A77:B77"/>
    <mergeCell ref="C77:D77"/>
    <mergeCell ref="C31:D31"/>
    <mergeCell ref="A40:B40"/>
    <mergeCell ref="C40:D40"/>
    <mergeCell ref="C8:D8"/>
    <mergeCell ref="C11:D11"/>
    <mergeCell ref="C13:D13"/>
    <mergeCell ref="A14:B14"/>
    <mergeCell ref="A30:B30"/>
    <mergeCell ref="C30:D30"/>
  </mergeCells>
  <phoneticPr fontId="3" type="noConversion"/>
  <dataValidations count="2">
    <dataValidation type="whole" allowBlank="1" showInputMessage="1" showErrorMessage="1" sqref="B24:B25 B18:B19" xr:uid="{00000000-0002-0000-0500-000000000000}">
      <formula1>0</formula1>
      <formula2>9999</formula2>
    </dataValidation>
    <dataValidation type="list" allowBlank="1" showInputMessage="1" showErrorMessage="1" sqref="B5" xr:uid="{00000000-0002-0000-0500-000001000000}">
      <formula1>$P$4:$P$92</formula1>
    </dataValidation>
  </dataValidations>
  <hyperlinks>
    <hyperlink ref="C6" location="_ftn1" display="¹  Grade in terms of the Remuneration of Public Office Bearers Act." xr:uid="{00000000-0004-0000-0500-000000000000}"/>
    <hyperlink ref="B10" r:id="rId1" xr:uid="{00000000-0004-0000-0500-000001000000}"/>
    <hyperlink ref="B38" r:id="rId2" xr:uid="{00000000-0004-0000-0500-000002000000}"/>
    <hyperlink ref="D38" r:id="rId3" xr:uid="{00000000-0004-0000-0500-000003000000}"/>
    <hyperlink ref="B47" r:id="rId4" xr:uid="{00000000-0004-0000-0500-000004000000}"/>
    <hyperlink ref="D47" r:id="rId5" display="asteyn@bvm.gov.za" xr:uid="{00000000-0004-0000-0500-000005000000}"/>
    <hyperlink ref="B56" r:id="rId6" xr:uid="{00000000-0004-0000-0500-000006000000}"/>
    <hyperlink ref="D56" r:id="rId7" xr:uid="{00000000-0004-0000-0500-000007000000}"/>
    <hyperlink ref="B66" r:id="rId8" xr:uid="{00000000-0004-0000-0500-000008000000}"/>
    <hyperlink ref="D66" r:id="rId9" xr:uid="{00000000-0004-0000-0500-000009000000}"/>
    <hyperlink ref="B75" r:id="rId10" xr:uid="{00000000-0004-0000-0500-00000A000000}"/>
    <hyperlink ref="D75" r:id="rId11" xr:uid="{00000000-0004-0000-0500-00000B000000}"/>
    <hyperlink ref="B84" r:id="rId12" xr:uid="{00000000-0004-0000-0500-00000C000000}"/>
    <hyperlink ref="D84" r:id="rId13" xr:uid="{00000000-0004-0000-0500-00000D000000}"/>
    <hyperlink ref="B92" r:id="rId14" xr:uid="{00000000-0004-0000-0500-00000E000000}"/>
  </hyperlinks>
  <printOptions horizontalCentered="1"/>
  <pageMargins left="0.19685039370078741" right="0.19685039370078741" top="0.39370078740157483" bottom="0.39370078740157483" header="0.51181102362204722" footer="0.51181102362204722"/>
  <pageSetup paperSize="9" scale="83" fitToHeight="2" orientation="portrait" r:id="rId15"/>
  <headerFooter alignWithMargins="0"/>
  <ignoredErrors>
    <ignoredError sqref="B27:B28 A32:D37 A39:D40 A38 C38 A48:D55 A47 C47 A41:C46 A57:D65 A56 C56 A67:D74 A66 C66 A76:D83 A75 C75 A85:D91 A84 C84 D41:D47" numberStoredAsText="1"/>
    <ignoredError sqref="B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9">
    <tabColor indexed="44"/>
    <pageSetUpPr fitToPage="1"/>
  </sheetPr>
  <dimension ref="A1:K56"/>
  <sheetViews>
    <sheetView showGridLines="0" view="pageBreakPreview" zoomScaleNormal="100" zoomScaleSheetLayoutView="100" workbookViewId="0">
      <pane xSplit="1" ySplit="4" topLeftCell="B5" activePane="bottomRight" state="frozen"/>
      <selection pane="topRight"/>
      <selection pane="bottomLeft"/>
      <selection pane="bottomRight"/>
    </sheetView>
  </sheetViews>
  <sheetFormatPr defaultColWidth="9.140625" defaultRowHeight="12.75" x14ac:dyDescent="0.25"/>
  <cols>
    <col min="1" max="1" width="30.7109375" style="22" customWidth="1"/>
    <col min="2" max="7" width="8.7109375" style="22" customWidth="1"/>
    <col min="8" max="8" width="6.7109375" style="22" customWidth="1"/>
    <col min="9" max="9" width="6.7109375" style="54" customWidth="1"/>
    <col min="10" max="11" width="8.7109375" style="22" customWidth="1"/>
    <col min="12" max="14" width="7.7109375" style="22" customWidth="1"/>
    <col min="15" max="16384" width="9.140625" style="22"/>
  </cols>
  <sheetData>
    <row r="1" spans="1:10" ht="13.5" x14ac:dyDescent="0.25">
      <c r="A1" s="293" t="str">
        <f>muni&amp; " - "&amp;s71sum&amp; " - "&amp;date</f>
        <v>WC025 Breede Valley - Table C1 Monthly Budget Statement Summary - Q4 Fourth Quarter</v>
      </c>
      <c r="B1" s="293"/>
      <c r="C1" s="293"/>
      <c r="D1" s="293"/>
      <c r="E1" s="293"/>
      <c r="F1" s="293"/>
      <c r="G1" s="293"/>
      <c r="H1" s="293"/>
      <c r="I1" s="293"/>
      <c r="J1" s="293"/>
    </row>
    <row r="2" spans="1:10" x14ac:dyDescent="0.25">
      <c r="A2" s="973" t="str">
        <f>desc</f>
        <v>Description</v>
      </c>
      <c r="B2" s="131" t="str">
        <f>Head1</f>
        <v>2017/18</v>
      </c>
      <c r="C2" s="975" t="str">
        <f>Head2</f>
        <v>Budget Year 2018/19</v>
      </c>
      <c r="D2" s="976"/>
      <c r="E2" s="976"/>
      <c r="F2" s="976"/>
      <c r="G2" s="976"/>
      <c r="H2" s="976"/>
      <c r="I2" s="976"/>
      <c r="J2" s="977"/>
    </row>
    <row r="3" spans="1:10" ht="25.5" x14ac:dyDescent="0.25">
      <c r="A3" s="974"/>
      <c r="B3" s="132" t="str">
        <f>Head5</f>
        <v>Audited Outcome</v>
      </c>
      <c r="C3" s="164" t="str">
        <f>Head6</f>
        <v>Original Budget</v>
      </c>
      <c r="D3" s="116" t="str">
        <f>Head7</f>
        <v>Adjusted Budget</v>
      </c>
      <c r="E3" s="116" t="str">
        <f>Head38</f>
        <v>Monthly actual</v>
      </c>
      <c r="F3" s="116" t="str">
        <f>Head39</f>
        <v>YearTD actual</v>
      </c>
      <c r="G3" s="116" t="str">
        <f>Head40</f>
        <v>YearTD budget</v>
      </c>
      <c r="H3" s="116" t="str">
        <f>Head41</f>
        <v>YTD variance</v>
      </c>
      <c r="I3" s="170" t="str">
        <f>Head41</f>
        <v>YTD variance</v>
      </c>
      <c r="J3" s="137" t="str">
        <f>Head8</f>
        <v>Full Year Forecast</v>
      </c>
    </row>
    <row r="4" spans="1:10" ht="11.25" customHeight="1" x14ac:dyDescent="0.25">
      <c r="A4" s="154" t="s">
        <v>678</v>
      </c>
      <c r="B4" s="17"/>
      <c r="C4" s="186"/>
      <c r="D4" s="74"/>
      <c r="E4" s="74"/>
      <c r="F4" s="74"/>
      <c r="G4" s="74"/>
      <c r="H4" s="74"/>
      <c r="I4" s="205" t="s">
        <v>586</v>
      </c>
      <c r="J4" s="187"/>
    </row>
    <row r="5" spans="1:10" ht="12.75" customHeight="1" x14ac:dyDescent="0.25">
      <c r="A5" s="129" t="s">
        <v>761</v>
      </c>
      <c r="B5" s="139"/>
      <c r="C5" s="157"/>
      <c r="D5" s="138"/>
      <c r="E5" s="138"/>
      <c r="F5" s="138"/>
      <c r="G5" s="138"/>
      <c r="H5" s="138"/>
      <c r="I5" s="165"/>
      <c r="J5" s="158"/>
    </row>
    <row r="6" spans="1:10" ht="12.75" customHeight="1" x14ac:dyDescent="0.25">
      <c r="A6" s="126" t="s">
        <v>946</v>
      </c>
      <c r="B6" s="111">
        <f>SUM('C4-FinPerf RE'!C6:C6)</f>
        <v>126475877.25999999</v>
      </c>
      <c r="C6" s="43">
        <f>SUM('C4-FinPerf RE'!D6:D6)</f>
        <v>145752800</v>
      </c>
      <c r="D6" s="41">
        <f>SUM('C4-FinPerf RE'!E6:E6)</f>
        <v>134073738</v>
      </c>
      <c r="E6" s="41">
        <f>SUM('C4-FinPerf RE'!F6:F6)</f>
        <v>8875505.7899999991</v>
      </c>
      <c r="F6" s="41">
        <f>SUM('C4-FinPerf RE'!G6:G6)</f>
        <v>137472012.81999999</v>
      </c>
      <c r="G6" s="90">
        <f>SUM('C4-FinPerf RE'!H6:H6)</f>
        <v>134073738</v>
      </c>
      <c r="H6" s="41">
        <f>F6-G6</f>
        <v>3398274.8199999928</v>
      </c>
      <c r="I6" s="458">
        <f>IF(H6=0,"",H6/G6)</f>
        <v>2.5346312191280838E-2</v>
      </c>
      <c r="J6" s="119">
        <f>SUM('C4-FinPerf RE'!K6:K6)</f>
        <v>134073738</v>
      </c>
    </row>
    <row r="7" spans="1:10" ht="12.75" customHeight="1" x14ac:dyDescent="0.25">
      <c r="A7" s="126" t="s">
        <v>977</v>
      </c>
      <c r="B7" s="111">
        <f>SUM('C4-FinPerf RE'!C7:C11)</f>
        <v>508435906.48999995</v>
      </c>
      <c r="C7" s="43">
        <f>SUM('C4-FinPerf RE'!D7:D11)</f>
        <v>578888000</v>
      </c>
      <c r="D7" s="41">
        <f>SUM('C4-FinPerf RE'!E7:E11)</f>
        <v>574963431</v>
      </c>
      <c r="E7" s="41">
        <f>SUM('C4-FinPerf RE'!F7:F11)</f>
        <v>51004397.630000003</v>
      </c>
      <c r="F7" s="41">
        <f>SUM('C4-FinPerf RE'!G7:G11)</f>
        <v>532840418.13999987</v>
      </c>
      <c r="G7" s="90">
        <f>SUM('C4-FinPerf RE'!H7:H11)</f>
        <v>574963431</v>
      </c>
      <c r="H7" s="41">
        <f>F7-G7</f>
        <v>-42123012.860000134</v>
      </c>
      <c r="I7" s="172">
        <f>IF(H7=0,"",H7/G7)</f>
        <v>-7.3262073009996584E-2</v>
      </c>
      <c r="J7" s="119">
        <f>SUM('C4-FinPerf RE'!K7:K11)</f>
        <v>574963431</v>
      </c>
    </row>
    <row r="8" spans="1:10" ht="12.75" customHeight="1" x14ac:dyDescent="0.25">
      <c r="A8" s="126" t="s">
        <v>501</v>
      </c>
      <c r="B8" s="111">
        <f>'C4-FinPerf RE'!C13</f>
        <v>16555889.58</v>
      </c>
      <c r="C8" s="43">
        <f>'C4-FinPerf RE'!D13</f>
        <v>13073900</v>
      </c>
      <c r="D8" s="41">
        <f>'C4-FinPerf RE'!E13</f>
        <v>11225400</v>
      </c>
      <c r="E8" s="41">
        <f>'C4-FinPerf RE'!F13</f>
        <v>944199.8</v>
      </c>
      <c r="F8" s="41">
        <f>'C4-FinPerf RE'!G13</f>
        <v>11232874.74</v>
      </c>
      <c r="G8" s="90">
        <f>'C4-FinPerf RE'!H13</f>
        <v>11225400</v>
      </c>
      <c r="H8" s="41">
        <f>F8-G8</f>
        <v>7474.7400000002235</v>
      </c>
      <c r="I8" s="172">
        <f>IF(H8=0,"",H8/G8)</f>
        <v>6.6587738521569153E-4</v>
      </c>
      <c r="J8" s="119">
        <f>'C4-FinPerf RE'!K13</f>
        <v>11225400</v>
      </c>
    </row>
    <row r="9" spans="1:10" ht="12.75" customHeight="1" x14ac:dyDescent="0.25">
      <c r="A9" s="126" t="s">
        <v>1151</v>
      </c>
      <c r="B9" s="111">
        <f>'C4-FinPerf RE'!C19</f>
        <v>130203145.53999999</v>
      </c>
      <c r="C9" s="43">
        <f>'C4-FinPerf RE'!D19</f>
        <v>146455247</v>
      </c>
      <c r="D9" s="41">
        <f>'C4-FinPerf RE'!E19</f>
        <v>144633652</v>
      </c>
      <c r="E9" s="41">
        <f>'C4-FinPerf RE'!F19</f>
        <v>0</v>
      </c>
      <c r="F9" s="41">
        <f>'C4-FinPerf RE'!G19</f>
        <v>126629947.43000001</v>
      </c>
      <c r="G9" s="90">
        <f>'C4-FinPerf RE'!H19</f>
        <v>144633652</v>
      </c>
      <c r="H9" s="41">
        <f>F9-G9</f>
        <v>-18003704.569999993</v>
      </c>
      <c r="I9" s="172">
        <f>IF(H9=0,"",H9/G9)</f>
        <v>-0.12447797812641828</v>
      </c>
      <c r="J9" s="119">
        <f>'C4-FinPerf RE'!K19</f>
        <v>144633652</v>
      </c>
    </row>
    <row r="10" spans="1:10" ht="12.75" customHeight="1" x14ac:dyDescent="0.25">
      <c r="A10" s="195" t="s">
        <v>499</v>
      </c>
      <c r="B10" s="212">
        <f>'C4-FinPerf RE'!C12+'C4-FinPerf RE'!C14+'C4-FinPerf RE'!C15+'C4-FinPerf RE'!C16+'C4-FinPerf RE'!C17+'C4-FinPerf RE'!C18+'C4-FinPerf RE'!C20+'C4-FinPerf RE'!C21</f>
        <v>146197433.04000002</v>
      </c>
      <c r="C10" s="435">
        <f>'C4-FinPerf RE'!D12+'C4-FinPerf RE'!D14+'C4-FinPerf RE'!D15+'C4-FinPerf RE'!D16+'C4-FinPerf RE'!D17+'C4-FinPerf RE'!D18+'C4-FinPerf RE'!D20+'C4-FinPerf RE'!D21</f>
        <v>109959100</v>
      </c>
      <c r="D10" s="85">
        <f>'C4-FinPerf RE'!E12+'C4-FinPerf RE'!E14+'C4-FinPerf RE'!E15+'C4-FinPerf RE'!E16+'C4-FinPerf RE'!E17+'C4-FinPerf RE'!E18+'C4-FinPerf RE'!E20+'C4-FinPerf RE'!E21</f>
        <v>156043509</v>
      </c>
      <c r="E10" s="85">
        <f>'C4-FinPerf RE'!F12+'C4-FinPerf RE'!F14+'C4-FinPerf RE'!F15+'C4-FinPerf RE'!F16+'C4-FinPerf RE'!F17+'C4-FinPerf RE'!F18+'C4-FinPerf RE'!F20+'C4-FinPerf RE'!F21</f>
        <v>20352204.420000002</v>
      </c>
      <c r="F10" s="85">
        <f>'C4-FinPerf RE'!G12+'C4-FinPerf RE'!G14+'C4-FinPerf RE'!G15+'C4-FinPerf RE'!G16+'C4-FinPerf RE'!G17+'C4-FinPerf RE'!G18+'C4-FinPerf RE'!G20+'C4-FinPerf RE'!G21</f>
        <v>154359476.36000001</v>
      </c>
      <c r="G10" s="470">
        <f>'C4-FinPerf RE'!H12+'C4-FinPerf RE'!H14+'C4-FinPerf RE'!H15+'C4-FinPerf RE'!H16+'C4-FinPerf RE'!H17+'C4-FinPerf RE'!H18+'C4-FinPerf RE'!H20+'C4-FinPerf RE'!H21</f>
        <v>156043509</v>
      </c>
      <c r="H10" s="85">
        <f>F10-G10</f>
        <v>-1684032.6399999857</v>
      </c>
      <c r="I10" s="173">
        <f>IF(H10=0,"",H10/G10)</f>
        <v>-1.0792071075510008E-2</v>
      </c>
      <c r="J10" s="160">
        <f>'C4-FinPerf RE'!K12+'C4-FinPerf RE'!K14+'C4-FinPerf RE'!K15+'C4-FinPerf RE'!K16+'C4-FinPerf RE'!K17+'C4-FinPerf RE'!K18+'C4-FinPerf RE'!K20+'C4-FinPerf RE'!K21</f>
        <v>156043509</v>
      </c>
    </row>
    <row r="11" spans="1:10" ht="23.25" customHeight="1" x14ac:dyDescent="0.25">
      <c r="A11" s="294" t="s">
        <v>137</v>
      </c>
      <c r="B11" s="215">
        <f t="shared" ref="B11:J11" si="0">SUM(B6:B10)</f>
        <v>927868251.91000009</v>
      </c>
      <c r="C11" s="216">
        <f t="shared" si="0"/>
        <v>994129047</v>
      </c>
      <c r="D11" s="217">
        <f t="shared" si="0"/>
        <v>1020939730</v>
      </c>
      <c r="E11" s="217">
        <f t="shared" si="0"/>
        <v>81176307.640000001</v>
      </c>
      <c r="F11" s="217">
        <f t="shared" si="0"/>
        <v>962534729.48999989</v>
      </c>
      <c r="G11" s="471">
        <f t="shared" si="0"/>
        <v>1020939730</v>
      </c>
      <c r="H11" s="217">
        <f t="shared" ref="H11:H25" si="1">F11-G11</f>
        <v>-58405000.51000011</v>
      </c>
      <c r="I11" s="460">
        <f t="shared" ref="I11:I25" si="2">IF(H11=0,"",H11/G11)</f>
        <v>-5.7207099296645171E-2</v>
      </c>
      <c r="J11" s="218">
        <f t="shared" si="0"/>
        <v>1020939730</v>
      </c>
    </row>
    <row r="12" spans="1:10" ht="12.75" customHeight="1" x14ac:dyDescent="0.25">
      <c r="A12" s="126" t="s">
        <v>479</v>
      </c>
      <c r="B12" s="111">
        <f>'C4-FinPerf RE'!C25</f>
        <v>252675350.92999977</v>
      </c>
      <c r="C12" s="43">
        <f>'C4-FinPerf RE'!D25</f>
        <v>310636522.99999994</v>
      </c>
      <c r="D12" s="41">
        <f>'C4-FinPerf RE'!E25</f>
        <v>282019074.99999994</v>
      </c>
      <c r="E12" s="41">
        <f>'C4-FinPerf RE'!F25</f>
        <v>23766346.209999993</v>
      </c>
      <c r="F12" s="41">
        <f>'C4-FinPerf RE'!G25</f>
        <v>276627197.25</v>
      </c>
      <c r="G12" s="90">
        <f>'C4-FinPerf RE'!H25</f>
        <v>282019074.99999994</v>
      </c>
      <c r="H12" s="41">
        <f t="shared" si="1"/>
        <v>-5391877.7499999404</v>
      </c>
      <c r="I12" s="172">
        <f t="shared" si="2"/>
        <v>-1.9118840631613097E-2</v>
      </c>
      <c r="J12" s="119">
        <f>'C4-FinPerf RE'!K25</f>
        <v>282019074.99999994</v>
      </c>
    </row>
    <row r="13" spans="1:10" ht="12.75" customHeight="1" x14ac:dyDescent="0.25">
      <c r="A13" s="126" t="s">
        <v>853</v>
      </c>
      <c r="B13" s="111">
        <f>'C4-FinPerf RE'!C26</f>
        <v>16890840.800000001</v>
      </c>
      <c r="C13" s="43">
        <f>'C4-FinPerf RE'!D26</f>
        <v>18128959</v>
      </c>
      <c r="D13" s="41">
        <f>'C4-FinPerf RE'!E26</f>
        <v>18128959</v>
      </c>
      <c r="E13" s="41">
        <f>'C4-FinPerf RE'!F26</f>
        <v>1443687.74</v>
      </c>
      <c r="F13" s="41">
        <f>'C4-FinPerf RE'!G26</f>
        <v>17663154.07</v>
      </c>
      <c r="G13" s="90">
        <f>'C4-FinPerf RE'!H26</f>
        <v>18128959</v>
      </c>
      <c r="H13" s="41">
        <f t="shared" si="1"/>
        <v>-465804.9299999997</v>
      </c>
      <c r="I13" s="172">
        <f t="shared" si="2"/>
        <v>-2.5693970072964461E-2</v>
      </c>
      <c r="J13" s="119">
        <f>'C4-FinPerf RE'!K26</f>
        <v>18128959</v>
      </c>
    </row>
    <row r="14" spans="1:10" ht="12.75" customHeight="1" x14ac:dyDescent="0.25">
      <c r="A14" s="126" t="s">
        <v>675</v>
      </c>
      <c r="B14" s="111">
        <f>'C4-FinPerf RE'!C28</f>
        <v>85049395.030000061</v>
      </c>
      <c r="C14" s="43">
        <f>'C4-FinPerf RE'!D28</f>
        <v>86305366</v>
      </c>
      <c r="D14" s="41">
        <f>'C4-FinPerf RE'!E28</f>
        <v>86305366</v>
      </c>
      <c r="E14" s="41">
        <f>'C4-FinPerf RE'!F28</f>
        <v>13309811.329999989</v>
      </c>
      <c r="F14" s="41">
        <f>'C4-FinPerf RE'!G28</f>
        <v>83910903.949999973</v>
      </c>
      <c r="G14" s="90">
        <f>'C4-FinPerf RE'!H28</f>
        <v>86305366</v>
      </c>
      <c r="H14" s="41">
        <f t="shared" si="1"/>
        <v>-2394462.0500000268</v>
      </c>
      <c r="I14" s="172">
        <f t="shared" si="2"/>
        <v>-2.7744069238985983E-2</v>
      </c>
      <c r="J14" s="119">
        <f>'C4-FinPerf RE'!K28</f>
        <v>86305366</v>
      </c>
    </row>
    <row r="15" spans="1:10" ht="12.75" customHeight="1" x14ac:dyDescent="0.25">
      <c r="A15" s="126" t="s">
        <v>459</v>
      </c>
      <c r="B15" s="111">
        <f>'C4-FinPerf RE'!C29</f>
        <v>26038599.569999997</v>
      </c>
      <c r="C15" s="43">
        <f>'C4-FinPerf RE'!D29</f>
        <v>24505128</v>
      </c>
      <c r="D15" s="41">
        <f>'C4-FinPerf RE'!E29</f>
        <v>24505128</v>
      </c>
      <c r="E15" s="41">
        <f>'C4-FinPerf RE'!F29</f>
        <v>4562159</v>
      </c>
      <c r="F15" s="41">
        <f>'C4-FinPerf RE'!G29</f>
        <v>35512547.68</v>
      </c>
      <c r="G15" s="90">
        <f>'C4-FinPerf RE'!H29</f>
        <v>24505128</v>
      </c>
      <c r="H15" s="41">
        <f t="shared" si="1"/>
        <v>11007419.68</v>
      </c>
      <c r="I15" s="172">
        <f t="shared" si="2"/>
        <v>0.44918841803234</v>
      </c>
      <c r="J15" s="119">
        <f>'C4-FinPerf RE'!K29</f>
        <v>24505128</v>
      </c>
    </row>
    <row r="16" spans="1:10" ht="12.75" customHeight="1" x14ac:dyDescent="0.25">
      <c r="A16" s="126" t="s">
        <v>500</v>
      </c>
      <c r="B16" s="111">
        <f>SUM('C4-FinPerf RE'!C30:C31)</f>
        <v>278169519.94999999</v>
      </c>
      <c r="C16" s="43">
        <f>SUM('C4-FinPerf RE'!D30:D31)</f>
        <v>293504053</v>
      </c>
      <c r="D16" s="41">
        <f>SUM('C4-FinPerf RE'!E30:E31)</f>
        <v>308250455</v>
      </c>
      <c r="E16" s="41">
        <f>SUM('C4-FinPerf RE'!F30:F31)</f>
        <v>26399276.369999997</v>
      </c>
      <c r="F16" s="41">
        <f>SUM('C4-FinPerf RE'!G30:G31)</f>
        <v>281193188.74000001</v>
      </c>
      <c r="G16" s="90">
        <f>SUM('C4-FinPerf RE'!H30:H31)</f>
        <v>308250455</v>
      </c>
      <c r="H16" s="41">
        <f t="shared" si="1"/>
        <v>-27057266.25999999</v>
      </c>
      <c r="I16" s="458">
        <f t="shared" si="2"/>
        <v>-8.7776889931922369E-2</v>
      </c>
      <c r="J16" s="119">
        <f>SUM('C4-FinPerf RE'!K30:K31)</f>
        <v>308250455</v>
      </c>
    </row>
    <row r="17" spans="1:11" ht="12.75" customHeight="1" x14ac:dyDescent="0.25">
      <c r="A17" s="126" t="s">
        <v>1151</v>
      </c>
      <c r="B17" s="111">
        <f>'C4-FinPerf RE'!C33</f>
        <v>12806719.610000001</v>
      </c>
      <c r="C17" s="43">
        <f>'C4-FinPerf RE'!D33</f>
        <v>21598146</v>
      </c>
      <c r="D17" s="41">
        <f>'C4-FinPerf RE'!E33</f>
        <v>19658127</v>
      </c>
      <c r="E17" s="41">
        <f>'C4-FinPerf RE'!F33</f>
        <v>976534.44</v>
      </c>
      <c r="F17" s="41">
        <f>'C4-FinPerf RE'!G33</f>
        <v>4914611.8100000005</v>
      </c>
      <c r="G17" s="90">
        <f>'C4-FinPerf RE'!H33</f>
        <v>19658127</v>
      </c>
      <c r="H17" s="41">
        <f t="shared" si="1"/>
        <v>-14743515.189999999</v>
      </c>
      <c r="I17" s="172">
        <f t="shared" si="2"/>
        <v>-0.74999592738412968</v>
      </c>
      <c r="J17" s="119">
        <f>'C4-FinPerf RE'!K33</f>
        <v>19658127</v>
      </c>
    </row>
    <row r="18" spans="1:11" ht="12.75" customHeight="1" x14ac:dyDescent="0.25">
      <c r="A18" s="126" t="s">
        <v>440</v>
      </c>
      <c r="B18" s="111">
        <f>'C4-FinPerf RE'!C36-SUM('C1-Sum'!B12:B17)</f>
        <v>285467917.55000007</v>
      </c>
      <c r="C18" s="43">
        <f>'C4-FinPerf RE'!D36-SUM('C1-Sum'!C12:C17)</f>
        <v>256669343</v>
      </c>
      <c r="D18" s="41">
        <f>'C4-FinPerf RE'!E36-SUM('C1-Sum'!D12:D17)</f>
        <v>270101038</v>
      </c>
      <c r="E18" s="41">
        <f>'C4-FinPerf RE'!F36-SUM('C1-Sum'!E12:E17)</f>
        <v>9416580.7800000012</v>
      </c>
      <c r="F18" s="41">
        <f>'C4-FinPerf RE'!G36-SUM('C1-Sum'!F12:F17)</f>
        <v>196698693.71000004</v>
      </c>
      <c r="G18" s="90">
        <f>'C4-FinPerf RE'!H36-SUM('C1-Sum'!G12:G17)</f>
        <v>270101038</v>
      </c>
      <c r="H18" s="41">
        <f t="shared" si="1"/>
        <v>-73402344.289999962</v>
      </c>
      <c r="I18" s="172">
        <f t="shared" si="2"/>
        <v>-0.27175883822408697</v>
      </c>
      <c r="J18" s="119">
        <f>'C4-FinPerf RE'!K36-SUM('C1-Sum'!J12:J17)</f>
        <v>270101038</v>
      </c>
    </row>
    <row r="19" spans="1:11" ht="12.75" customHeight="1" x14ac:dyDescent="0.25">
      <c r="A19" s="127" t="s">
        <v>493</v>
      </c>
      <c r="B19" s="472">
        <f t="shared" ref="B19:G19" si="3">SUM(B12:B18)</f>
        <v>957098343.43999994</v>
      </c>
      <c r="C19" s="473">
        <f t="shared" si="3"/>
        <v>1011347518</v>
      </c>
      <c r="D19" s="474">
        <f t="shared" si="3"/>
        <v>1008968148</v>
      </c>
      <c r="E19" s="474">
        <f t="shared" si="3"/>
        <v>79874395.869999975</v>
      </c>
      <c r="F19" s="474">
        <f t="shared" si="3"/>
        <v>896520297.21000004</v>
      </c>
      <c r="G19" s="475">
        <f t="shared" si="3"/>
        <v>1008968148</v>
      </c>
      <c r="H19" s="474">
        <f t="shared" si="1"/>
        <v>-112447850.78999996</v>
      </c>
      <c r="I19" s="327">
        <f t="shared" si="2"/>
        <v>-0.11144836535513702</v>
      </c>
      <c r="J19" s="476">
        <f>SUM(J12:J18)</f>
        <v>1008968148</v>
      </c>
    </row>
    <row r="20" spans="1:11" ht="12.75" customHeight="1" x14ac:dyDescent="0.25">
      <c r="A20" s="127" t="s">
        <v>494</v>
      </c>
      <c r="B20" s="91">
        <f t="shared" ref="B20:G20" si="4">B11-B19</f>
        <v>-29230091.529999852</v>
      </c>
      <c r="C20" s="47">
        <f t="shared" si="4"/>
        <v>-17218471</v>
      </c>
      <c r="D20" s="46">
        <f t="shared" si="4"/>
        <v>11971582</v>
      </c>
      <c r="E20" s="46">
        <f t="shared" si="4"/>
        <v>1301911.7700000256</v>
      </c>
      <c r="F20" s="46">
        <f t="shared" si="4"/>
        <v>66014432.279999852</v>
      </c>
      <c r="G20" s="92">
        <f t="shared" si="4"/>
        <v>11971582</v>
      </c>
      <c r="H20" s="46">
        <f t="shared" si="1"/>
        <v>54042850.279999852</v>
      </c>
      <c r="I20" s="171">
        <f t="shared" si="2"/>
        <v>4.5142613799913702</v>
      </c>
      <c r="J20" s="159">
        <f>J11-J19</f>
        <v>11971582</v>
      </c>
    </row>
    <row r="21" spans="1:11" ht="12.75" customHeight="1" x14ac:dyDescent="0.25">
      <c r="A21" s="126" t="str">
        <f>'C4-FinPerf RE'!A39</f>
        <v>Transfers and subsidies - capital (monetary allocations) (National / Provincial and District)</v>
      </c>
      <c r="B21" s="111">
        <f>'C4-FinPerf RE'!C39</f>
        <v>131654444.79999998</v>
      </c>
      <c r="C21" s="43">
        <f>'C4-FinPerf RE'!D39</f>
        <v>141090000</v>
      </c>
      <c r="D21" s="41">
        <f>'C4-FinPerf RE'!E39</f>
        <v>155996715</v>
      </c>
      <c r="E21" s="41">
        <f>'C4-FinPerf RE'!F39</f>
        <v>0</v>
      </c>
      <c r="F21" s="41">
        <f>'C4-FinPerf RE'!G39</f>
        <v>0</v>
      </c>
      <c r="G21" s="90">
        <f>'C4-FinPerf RE'!H39</f>
        <v>155996715</v>
      </c>
      <c r="H21" s="41">
        <f t="shared" si="1"/>
        <v>-155996715</v>
      </c>
      <c r="I21" s="172">
        <f t="shared" si="2"/>
        <v>-1</v>
      </c>
      <c r="J21" s="119">
        <f>'C4-FinPerf RE'!K39</f>
        <v>155996715</v>
      </c>
    </row>
    <row r="22" spans="1:11" ht="12.75" customHeight="1" x14ac:dyDescent="0.25">
      <c r="A22" s="126" t="s">
        <v>918</v>
      </c>
      <c r="B22" s="212">
        <f>SUM('C4-FinPerf RE'!C40:C41)</f>
        <v>0</v>
      </c>
      <c r="C22" s="435">
        <f>SUM('C4-FinPerf RE'!D40:D41)</f>
        <v>0</v>
      </c>
      <c r="D22" s="85">
        <f>SUM('C4-FinPerf RE'!E40:E41)</f>
        <v>500000</v>
      </c>
      <c r="E22" s="85">
        <f>SUM('C4-FinPerf RE'!F40:F41)</f>
        <v>0</v>
      </c>
      <c r="F22" s="85">
        <f>SUM('C4-FinPerf RE'!G40:G41)</f>
        <v>0</v>
      </c>
      <c r="G22" s="470">
        <f>SUM('C4-FinPerf RE'!H40:H41)</f>
        <v>500000</v>
      </c>
      <c r="H22" s="85">
        <f t="shared" si="1"/>
        <v>-500000</v>
      </c>
      <c r="I22" s="173">
        <f t="shared" si="2"/>
        <v>-1</v>
      </c>
      <c r="J22" s="160">
        <f>SUM('C4-FinPerf RE'!K40:K41)</f>
        <v>500000</v>
      </c>
    </row>
    <row r="23" spans="1:11" ht="25.5" x14ac:dyDescent="0.25">
      <c r="A23" s="294" t="s">
        <v>765</v>
      </c>
      <c r="B23" s="215">
        <f t="shared" ref="B23:G23" si="5">B20+B21+B22</f>
        <v>102424353.27000013</v>
      </c>
      <c r="C23" s="216">
        <f t="shared" si="5"/>
        <v>123871529</v>
      </c>
      <c r="D23" s="217">
        <f t="shared" si="5"/>
        <v>168468297</v>
      </c>
      <c r="E23" s="217">
        <f t="shared" si="5"/>
        <v>1301911.7700000256</v>
      </c>
      <c r="F23" s="217">
        <f t="shared" si="5"/>
        <v>66014432.279999852</v>
      </c>
      <c r="G23" s="471">
        <f t="shared" si="5"/>
        <v>168468297</v>
      </c>
      <c r="H23" s="217">
        <f t="shared" si="1"/>
        <v>-102453864.72000015</v>
      </c>
      <c r="I23" s="459">
        <f t="shared" si="2"/>
        <v>-0.60814922774461322</v>
      </c>
      <c r="J23" s="218">
        <f>J20+J21+J22</f>
        <v>168468297</v>
      </c>
    </row>
    <row r="24" spans="1:11" ht="12.75" customHeight="1" x14ac:dyDescent="0.25">
      <c r="A24" s="295" t="s">
        <v>483</v>
      </c>
      <c r="B24" s="111">
        <f>'C4-FinPerf RE'!C47</f>
        <v>0</v>
      </c>
      <c r="C24" s="43">
        <f>'C4-FinPerf RE'!D47</f>
        <v>0</v>
      </c>
      <c r="D24" s="41">
        <f>'C4-FinPerf RE'!E47</f>
        <v>0</v>
      </c>
      <c r="E24" s="41">
        <f>'C4-FinPerf RE'!F47</f>
        <v>0</v>
      </c>
      <c r="F24" s="41">
        <f>'C4-FinPerf RE'!G47</f>
        <v>0</v>
      </c>
      <c r="G24" s="90">
        <f>'C4-FinPerf RE'!H47</f>
        <v>0</v>
      </c>
      <c r="H24" s="41">
        <f t="shared" si="1"/>
        <v>0</v>
      </c>
      <c r="I24" s="172" t="str">
        <f t="shared" si="2"/>
        <v/>
      </c>
      <c r="J24" s="119">
        <f>'C4-FinPerf RE'!K47</f>
        <v>0</v>
      </c>
    </row>
    <row r="25" spans="1:11" ht="12.75" customHeight="1" x14ac:dyDescent="0.25">
      <c r="A25" s="294" t="s">
        <v>907</v>
      </c>
      <c r="B25" s="91">
        <f t="shared" ref="B25:G25" si="6">B23+B24</f>
        <v>102424353.27000013</v>
      </c>
      <c r="C25" s="47">
        <f t="shared" si="6"/>
        <v>123871529</v>
      </c>
      <c r="D25" s="46">
        <f t="shared" si="6"/>
        <v>168468297</v>
      </c>
      <c r="E25" s="46">
        <f t="shared" si="6"/>
        <v>1301911.7700000256</v>
      </c>
      <c r="F25" s="46">
        <f t="shared" si="6"/>
        <v>66014432.279999852</v>
      </c>
      <c r="G25" s="92">
        <f t="shared" si="6"/>
        <v>168468297</v>
      </c>
      <c r="H25" s="46">
        <f t="shared" si="1"/>
        <v>-102453864.72000015</v>
      </c>
      <c r="I25" s="171">
        <f t="shared" si="2"/>
        <v>-0.60814922774461322</v>
      </c>
      <c r="J25" s="159">
        <f>J23+J24</f>
        <v>168468297</v>
      </c>
    </row>
    <row r="26" spans="1:11" ht="5.0999999999999996" customHeight="1" x14ac:dyDescent="0.25">
      <c r="A26" s="128"/>
      <c r="B26" s="174"/>
      <c r="C26" s="175"/>
      <c r="D26" s="30"/>
      <c r="E26" s="30"/>
      <c r="F26" s="30"/>
      <c r="G26" s="30"/>
      <c r="H26" s="30"/>
      <c r="I26" s="176"/>
      <c r="J26" s="177"/>
    </row>
    <row r="27" spans="1:11" ht="12.75" customHeight="1" x14ac:dyDescent="0.25">
      <c r="A27" s="125" t="s">
        <v>942</v>
      </c>
      <c r="B27" s="178"/>
      <c r="C27" s="179"/>
      <c r="D27" s="28"/>
      <c r="E27" s="28"/>
      <c r="F27" s="28"/>
      <c r="G27" s="28"/>
      <c r="H27" s="28"/>
      <c r="I27" s="180"/>
      <c r="J27" s="181"/>
    </row>
    <row r="28" spans="1:11" ht="12.75" customHeight="1" x14ac:dyDescent="0.25">
      <c r="A28" s="127" t="s">
        <v>593</v>
      </c>
      <c r="B28" s="472">
        <f>'C5-Capex'!C40</f>
        <v>201022307.78999999</v>
      </c>
      <c r="C28" s="473">
        <f>'C5-Capex'!D40</f>
        <v>226517177</v>
      </c>
      <c r="D28" s="474">
        <f>'C5-Capex'!E40</f>
        <v>272453658.22000003</v>
      </c>
      <c r="E28" s="474">
        <f>'C5-Capex'!F40</f>
        <v>28743525.049999997</v>
      </c>
      <c r="F28" s="474">
        <f>'C5-Capex'!G40</f>
        <v>232896014.37000003</v>
      </c>
      <c r="G28" s="475">
        <f>'C5-Capex'!H40</f>
        <v>272453658.22000003</v>
      </c>
      <c r="H28" s="474">
        <f t="shared" ref="H28:H33" si="7">F28-G28</f>
        <v>-39557643.849999994</v>
      </c>
      <c r="I28" s="327">
        <f t="shared" ref="I28:I33" si="8">IF(H28=0,"",H28/G28)</f>
        <v>-0.14519035680577322</v>
      </c>
      <c r="J28" s="476">
        <f>'C5-Capex'!K40</f>
        <v>272453658.22000003</v>
      </c>
    </row>
    <row r="29" spans="1:11" ht="12.75" customHeight="1" x14ac:dyDescent="0.25">
      <c r="A29" s="126" t="s">
        <v>504</v>
      </c>
      <c r="B29" s="111">
        <f>'C5-Capex'!C70</f>
        <v>129811692.83999999</v>
      </c>
      <c r="C29" s="43">
        <f>'C5-Capex'!D70</f>
        <v>141090000</v>
      </c>
      <c r="D29" s="41">
        <f>'C5-Capex'!E70</f>
        <v>156496715</v>
      </c>
      <c r="E29" s="41">
        <f>'C5-Capex'!F70</f>
        <v>9880750.8500000015</v>
      </c>
      <c r="F29" s="41">
        <f>'C5-Capex'!G70</f>
        <v>137860888.69</v>
      </c>
      <c r="G29" s="90">
        <f>'C5-Capex'!H70</f>
        <v>156496715</v>
      </c>
      <c r="H29" s="41">
        <f t="shared" si="7"/>
        <v>-18635826.310000002</v>
      </c>
      <c r="I29" s="458">
        <f t="shared" si="8"/>
        <v>-0.11908126192936383</v>
      </c>
      <c r="J29" s="119">
        <f>'C5-Capex'!K70</f>
        <v>156496715</v>
      </c>
      <c r="K29" s="130"/>
    </row>
    <row r="30" spans="1:11" ht="12.75" customHeight="1" x14ac:dyDescent="0.25">
      <c r="A30" s="126" t="s">
        <v>482</v>
      </c>
      <c r="B30" s="111">
        <f>'C5-Capex'!C71</f>
        <v>1842751.96</v>
      </c>
      <c r="C30" s="43">
        <f>'C5-Capex'!D71</f>
        <v>0</v>
      </c>
      <c r="D30" s="41">
        <f>'C5-Capex'!E71</f>
        <v>0</v>
      </c>
      <c r="E30" s="41">
        <f>'C5-Capex'!F71</f>
        <v>0</v>
      </c>
      <c r="F30" s="41">
        <f>'C5-Capex'!G71</f>
        <v>0</v>
      </c>
      <c r="G30" s="90">
        <f>'C5-Capex'!H71</f>
        <v>0</v>
      </c>
      <c r="H30" s="41">
        <f t="shared" si="7"/>
        <v>0</v>
      </c>
      <c r="I30" s="172" t="str">
        <f t="shared" si="8"/>
        <v/>
      </c>
      <c r="J30" s="119">
        <f>'C5-Capex'!K71</f>
        <v>0</v>
      </c>
      <c r="K30" s="130"/>
    </row>
    <row r="31" spans="1:11" ht="12.75" customHeight="1" x14ac:dyDescent="0.25">
      <c r="A31" s="126" t="s">
        <v>789</v>
      </c>
      <c r="B31" s="111">
        <f>'C5-Capex'!C72</f>
        <v>21325376.760000002</v>
      </c>
      <c r="C31" s="43">
        <f>'C5-Capex'!D72</f>
        <v>0</v>
      </c>
      <c r="D31" s="41">
        <f>'C5-Capex'!E72</f>
        <v>6443093</v>
      </c>
      <c r="E31" s="41">
        <f>'C5-Capex'!F72</f>
        <v>1400118.52</v>
      </c>
      <c r="F31" s="41">
        <f>'C5-Capex'!G72</f>
        <v>6623092.3700000001</v>
      </c>
      <c r="G31" s="90">
        <f>'C5-Capex'!H72</f>
        <v>6443093</v>
      </c>
      <c r="H31" s="41">
        <f t="shared" si="7"/>
        <v>179999.37000000011</v>
      </c>
      <c r="I31" s="172">
        <f t="shared" si="8"/>
        <v>2.7936795262772107E-2</v>
      </c>
      <c r="J31" s="119">
        <f>'C5-Capex'!K72</f>
        <v>6443093</v>
      </c>
      <c r="K31" s="130"/>
    </row>
    <row r="32" spans="1:11" ht="12.75" customHeight="1" x14ac:dyDescent="0.25">
      <c r="A32" s="126" t="s">
        <v>476</v>
      </c>
      <c r="B32" s="472">
        <f>'C5-Capex'!C73</f>
        <v>48042486.229999997</v>
      </c>
      <c r="C32" s="473">
        <f>'C5-Capex'!D73</f>
        <v>85427177</v>
      </c>
      <c r="D32" s="474">
        <f>'C5-Capex'!E73</f>
        <v>109513850.22</v>
      </c>
      <c r="E32" s="474">
        <f>'C5-Capex'!F73</f>
        <v>17462655.679999992</v>
      </c>
      <c r="F32" s="474">
        <f>'C5-Capex'!G73</f>
        <v>88412033.309999943</v>
      </c>
      <c r="G32" s="475">
        <f>'C5-Capex'!H73</f>
        <v>109513850.22</v>
      </c>
      <c r="H32" s="474">
        <f t="shared" si="7"/>
        <v>-21101816.910000056</v>
      </c>
      <c r="I32" s="327">
        <f t="shared" si="8"/>
        <v>-0.19268628458965759</v>
      </c>
      <c r="J32" s="476">
        <f>'C5-Capex'!K73</f>
        <v>109513850.22</v>
      </c>
      <c r="K32" s="130"/>
    </row>
    <row r="33" spans="1:10" ht="12.75" customHeight="1" x14ac:dyDescent="0.25">
      <c r="A33" s="127" t="s">
        <v>140</v>
      </c>
      <c r="B33" s="406">
        <f t="shared" ref="B33:J33" si="9">SUM(B29:B32)</f>
        <v>201022307.78999996</v>
      </c>
      <c r="C33" s="380">
        <f t="shared" si="9"/>
        <v>226517177</v>
      </c>
      <c r="D33" s="356">
        <f t="shared" si="9"/>
        <v>272453658.22000003</v>
      </c>
      <c r="E33" s="356">
        <f>SUM(E29:E32)</f>
        <v>28743525.049999993</v>
      </c>
      <c r="F33" s="356">
        <f>SUM(F29:F32)</f>
        <v>232896014.36999995</v>
      </c>
      <c r="G33" s="400">
        <f>SUM(G29:G32)</f>
        <v>272453658.22000003</v>
      </c>
      <c r="H33" s="356">
        <f t="shared" si="7"/>
        <v>-39557643.850000083</v>
      </c>
      <c r="I33" s="461">
        <f t="shared" si="8"/>
        <v>-0.14519035680577355</v>
      </c>
      <c r="J33" s="403">
        <f t="shared" si="9"/>
        <v>272453658.22000003</v>
      </c>
    </row>
    <row r="34" spans="1:10" ht="5.0999999999999996" customHeight="1" x14ac:dyDescent="0.25">
      <c r="A34" s="296"/>
      <c r="B34" s="174"/>
      <c r="C34" s="175"/>
      <c r="D34" s="30"/>
      <c r="E34" s="30"/>
      <c r="F34" s="30"/>
      <c r="G34" s="30"/>
      <c r="H34" s="30"/>
      <c r="I34" s="176"/>
      <c r="J34" s="177"/>
    </row>
    <row r="35" spans="1:10" ht="12.75" customHeight="1" x14ac:dyDescent="0.25">
      <c r="A35" s="129" t="s">
        <v>497</v>
      </c>
      <c r="B35" s="162"/>
      <c r="C35" s="161"/>
      <c r="D35" s="27"/>
      <c r="E35" s="27"/>
      <c r="F35" s="27"/>
      <c r="G35" s="182"/>
      <c r="H35" s="182"/>
      <c r="I35" s="184"/>
      <c r="J35" s="166"/>
    </row>
    <row r="36" spans="1:10" ht="12.75" customHeight="1" x14ac:dyDescent="0.25">
      <c r="A36" s="126" t="s">
        <v>643</v>
      </c>
      <c r="B36" s="111">
        <f>'C6-FinPos'!C13</f>
        <v>263527437</v>
      </c>
      <c r="C36" s="43">
        <f>'C6-FinPos'!D13</f>
        <v>250876801.47620645</v>
      </c>
      <c r="D36" s="41">
        <f>'C6-FinPos'!E13</f>
        <v>250876801.47620645</v>
      </c>
      <c r="E36" s="41"/>
      <c r="F36" s="41">
        <f>'C6-FinPos'!F13</f>
        <v>309986522</v>
      </c>
      <c r="G36" s="182"/>
      <c r="H36" s="182"/>
      <c r="I36" s="184"/>
      <c r="J36" s="119">
        <f>'C6-FinPos'!G13</f>
        <v>250876801.47620645</v>
      </c>
    </row>
    <row r="37" spans="1:10" ht="12.75" customHeight="1" x14ac:dyDescent="0.25">
      <c r="A37" s="126" t="s">
        <v>642</v>
      </c>
      <c r="B37" s="111">
        <f>'C6-FinPos'!C25</f>
        <v>2052571754</v>
      </c>
      <c r="C37" s="43">
        <f>'C6-FinPos'!D25</f>
        <v>2331545986.7083268</v>
      </c>
      <c r="D37" s="41">
        <f>'C6-FinPos'!E25</f>
        <v>2331545986.7083268</v>
      </c>
      <c r="E37" s="41"/>
      <c r="F37" s="41">
        <f>'C6-FinPos'!F25</f>
        <v>2197445830</v>
      </c>
      <c r="G37" s="182"/>
      <c r="H37" s="182"/>
      <c r="I37" s="184"/>
      <c r="J37" s="119">
        <f>'C6-FinPos'!G25</f>
        <v>2331545986.7083268</v>
      </c>
    </row>
    <row r="38" spans="1:10" ht="12.75" customHeight="1" x14ac:dyDescent="0.25">
      <c r="A38" s="126" t="s">
        <v>466</v>
      </c>
      <c r="B38" s="111">
        <f>'C6-FinPos'!C35</f>
        <v>148202492</v>
      </c>
      <c r="C38" s="43">
        <f>'C6-FinPos'!D35</f>
        <v>111080231.19366536</v>
      </c>
      <c r="D38" s="41">
        <f>'C6-FinPos'!E35</f>
        <v>111080231.19366536</v>
      </c>
      <c r="E38" s="41"/>
      <c r="F38" s="41">
        <f>'C6-FinPos'!F35</f>
        <v>176859014</v>
      </c>
      <c r="G38" s="182"/>
      <c r="H38" s="182"/>
      <c r="I38" s="184"/>
      <c r="J38" s="119">
        <f>'C6-FinPos'!G35</f>
        <v>111080231.19366536</v>
      </c>
    </row>
    <row r="39" spans="1:10" ht="12.75" customHeight="1" x14ac:dyDescent="0.25">
      <c r="A39" s="126" t="s">
        <v>465</v>
      </c>
      <c r="B39" s="111">
        <f>'C6-FinPos'!C40</f>
        <v>444348979</v>
      </c>
      <c r="C39" s="43">
        <f>'C6-FinPos'!D40</f>
        <v>439977219.24833781</v>
      </c>
      <c r="D39" s="41">
        <f>'C6-FinPos'!E40</f>
        <v>439977219.24833781</v>
      </c>
      <c r="E39" s="41"/>
      <c r="F39" s="41">
        <f>'C6-FinPos'!F40</f>
        <v>435660834</v>
      </c>
      <c r="G39" s="182"/>
      <c r="H39" s="182"/>
      <c r="I39" s="184"/>
      <c r="J39" s="119">
        <f>'C6-FinPos'!G40</f>
        <v>439977219.24833781</v>
      </c>
    </row>
    <row r="40" spans="1:10" ht="12.75" customHeight="1" x14ac:dyDescent="0.25">
      <c r="A40" s="126" t="s">
        <v>139</v>
      </c>
      <c r="B40" s="91">
        <f>'C6-FinPos'!C48</f>
        <v>1723547720</v>
      </c>
      <c r="C40" s="47">
        <f>'C6-FinPos'!D48</f>
        <v>2031365337.7425299</v>
      </c>
      <c r="D40" s="46">
        <f>'C6-FinPos'!E48</f>
        <v>2031365337.7425299</v>
      </c>
      <c r="E40" s="41"/>
      <c r="F40" s="46">
        <f>'C6-FinPos'!F48</f>
        <v>1894912504</v>
      </c>
      <c r="G40" s="462"/>
      <c r="H40" s="462"/>
      <c r="I40" s="463"/>
      <c r="J40" s="159">
        <f>'C6-FinPos'!G48</f>
        <v>2031365337.7425299</v>
      </c>
    </row>
    <row r="41" spans="1:10" ht="5.0999999999999996" customHeight="1" x14ac:dyDescent="0.25">
      <c r="A41" s="128"/>
      <c r="B41" s="174"/>
      <c r="C41" s="175"/>
      <c r="D41" s="30"/>
      <c r="E41" s="30"/>
      <c r="F41" s="30"/>
      <c r="G41" s="183"/>
      <c r="H41" s="183"/>
      <c r="I41" s="185"/>
      <c r="J41" s="177"/>
    </row>
    <row r="42" spans="1:10" ht="12.75" customHeight="1" x14ac:dyDescent="0.25">
      <c r="A42" s="125" t="s">
        <v>498</v>
      </c>
      <c r="B42" s="178"/>
      <c r="C42" s="179"/>
      <c r="D42" s="28"/>
      <c r="E42" s="28"/>
      <c r="F42" s="28"/>
      <c r="G42" s="28"/>
      <c r="H42" s="28"/>
      <c r="I42" s="180"/>
      <c r="J42" s="181"/>
    </row>
    <row r="43" spans="1:10" ht="12.75" customHeight="1" x14ac:dyDescent="0.25">
      <c r="A43" s="126" t="s">
        <v>659</v>
      </c>
      <c r="B43" s="111">
        <f>'C7-CFlow'!C18</f>
        <v>123495059.81999993</v>
      </c>
      <c r="C43" s="43">
        <f>'C7-CFlow'!D18</f>
        <v>202708635.03999996</v>
      </c>
      <c r="D43" s="41">
        <f>'C7-CFlow'!E18</f>
        <v>240257667.00000012</v>
      </c>
      <c r="E43" s="41">
        <f>'C7-CFlow'!F18</f>
        <v>-13721907.809999987</v>
      </c>
      <c r="F43" s="41">
        <f>'C7-CFlow'!G18</f>
        <v>167759614.39999998</v>
      </c>
      <c r="G43" s="90">
        <f>'C7-CFlow'!H18</f>
        <v>240257667</v>
      </c>
      <c r="H43" s="41">
        <f>G43-F43</f>
        <v>72498052.600000024</v>
      </c>
      <c r="I43" s="172">
        <f>IF(H43=0,"",H43/G43)</f>
        <v>0.30175125524714275</v>
      </c>
      <c r="J43" s="119">
        <f>'C7-CFlow'!K18</f>
        <v>202708635.03999996</v>
      </c>
    </row>
    <row r="44" spans="1:10" ht="12.75" customHeight="1" x14ac:dyDescent="0.25">
      <c r="A44" s="126" t="s">
        <v>660</v>
      </c>
      <c r="B44" s="111">
        <f>'C7-CFlow'!C28</f>
        <v>-158970287.72</v>
      </c>
      <c r="C44" s="43">
        <f>'C7-CFlow'!D28</f>
        <v>-226617177</v>
      </c>
      <c r="D44" s="41">
        <f>'C7-CFlow'!E28</f>
        <v>-272403658.22000003</v>
      </c>
      <c r="E44" s="41">
        <f>'C7-CFlow'!F28</f>
        <v>-28739171</v>
      </c>
      <c r="F44" s="41">
        <f>'C7-CFlow'!G28</f>
        <v>-210335728.13999999</v>
      </c>
      <c r="G44" s="90">
        <f>'C7-CFlow'!H28</f>
        <v>-272403658.22000003</v>
      </c>
      <c r="H44" s="41">
        <f>G44-F44</f>
        <v>-62067930.080000043</v>
      </c>
      <c r="I44" s="172">
        <f>IF(H44=0,"",H44/G44)</f>
        <v>0.2278527773289756</v>
      </c>
      <c r="J44" s="119">
        <f>'C7-CFlow'!K28</f>
        <v>-226617177</v>
      </c>
    </row>
    <row r="45" spans="1:10" ht="12.75" customHeight="1" x14ac:dyDescent="0.25">
      <c r="A45" s="126" t="s">
        <v>658</v>
      </c>
      <c r="B45" s="111">
        <f>'C7-CFlow'!C37</f>
        <v>-17140989</v>
      </c>
      <c r="C45" s="43">
        <f>'C7-CFlow'!D37</f>
        <v>-7784971.6799999997</v>
      </c>
      <c r="D45" s="41">
        <f>'C7-CFlow'!E37</f>
        <v>-7784971.6799999997</v>
      </c>
      <c r="E45" s="41">
        <f>'C7-CFlow'!F37</f>
        <v>-69363</v>
      </c>
      <c r="F45" s="41">
        <f>'C7-CFlow'!G37</f>
        <v>-9377439</v>
      </c>
      <c r="G45" s="90">
        <f>'C7-CFlow'!H37</f>
        <v>-7784971.6799999997</v>
      </c>
      <c r="H45" s="41">
        <f>G45-F45</f>
        <v>1592467.3200000003</v>
      </c>
      <c r="I45" s="172">
        <f>IF(H45=0,"",H45/G45)</f>
        <v>-0.20455659769336507</v>
      </c>
      <c r="J45" s="119">
        <f>'C7-CFlow'!K37</f>
        <v>-7784971.6799999997</v>
      </c>
    </row>
    <row r="46" spans="1:10" ht="12.75" customHeight="1" x14ac:dyDescent="0.25">
      <c r="A46" s="127" t="s">
        <v>53</v>
      </c>
      <c r="B46" s="91">
        <f>'C7-CFlow'!C41</f>
        <v>129961932.62999994</v>
      </c>
      <c r="C46" s="47">
        <f>'C7-CFlow'!D41</f>
        <v>128336986.35999995</v>
      </c>
      <c r="D46" s="46">
        <f>'C7-CFlow'!E41</f>
        <v>110519775.60000008</v>
      </c>
      <c r="E46" s="46">
        <f>'C7-CFlow'!F41</f>
        <v>0</v>
      </c>
      <c r="F46" s="46">
        <f>'C7-CFlow'!G41</f>
        <v>98497185.75999999</v>
      </c>
      <c r="G46" s="92">
        <f>'C7-CFlow'!H41</f>
        <v>110519775.59999996</v>
      </c>
      <c r="H46" s="46">
        <f>G46-F46</f>
        <v>12022589.839999974</v>
      </c>
      <c r="I46" s="171">
        <f>IF(H46=0,"",H46/G46)</f>
        <v>0.10878224982570429</v>
      </c>
      <c r="J46" s="159">
        <f>'C7-CFlow'!K41</f>
        <v>118757224.85999995</v>
      </c>
    </row>
    <row r="47" spans="1:10" ht="5.0999999999999996" customHeight="1" x14ac:dyDescent="0.25">
      <c r="A47" s="128"/>
      <c r="B47" s="174"/>
      <c r="C47" s="175"/>
      <c r="D47" s="30"/>
      <c r="E47" s="30"/>
      <c r="F47" s="30"/>
      <c r="G47" s="30"/>
      <c r="H47" s="30"/>
      <c r="I47" s="176"/>
      <c r="J47" s="177"/>
    </row>
    <row r="48" spans="1:10" ht="25.5" customHeight="1" x14ac:dyDescent="0.25">
      <c r="A48" s="131" t="s">
        <v>943</v>
      </c>
      <c r="B48" s="131" t="str">
        <f>'SC3'!C3</f>
        <v>0-30 Days</v>
      </c>
      <c r="C48" s="123" t="str">
        <f>'SC3'!D3</f>
        <v>31-60 Days</v>
      </c>
      <c r="D48" s="23" t="str">
        <f>'SC3'!E3</f>
        <v>61-90 Days</v>
      </c>
      <c r="E48" s="23" t="str">
        <f>'SC3'!F3</f>
        <v>91-120 Days</v>
      </c>
      <c r="F48" s="23" t="str">
        <f>'SC3'!G3</f>
        <v>121-150 Dys</v>
      </c>
      <c r="G48" s="23" t="str">
        <f>'SC3'!H3</f>
        <v>151-180 Dys</v>
      </c>
      <c r="H48" s="23" t="str">
        <f>'SC3'!I3</f>
        <v>181 Dys-1 Yr</v>
      </c>
      <c r="I48" s="23" t="str">
        <f>'SC3'!J3</f>
        <v>Over 1Yr</v>
      </c>
      <c r="J48" s="21" t="s">
        <v>55</v>
      </c>
    </row>
    <row r="49" spans="1:10" ht="12.75" customHeight="1" x14ac:dyDescent="0.25">
      <c r="A49" s="129" t="str">
        <f>LEFT('SC3'!A4,20)</f>
        <v>Debtors Age Analysis</v>
      </c>
      <c r="B49" s="162"/>
      <c r="C49" s="161"/>
      <c r="D49" s="27"/>
      <c r="E49" s="27"/>
      <c r="F49" s="27"/>
      <c r="G49" s="27"/>
      <c r="H49" s="27"/>
      <c r="I49" s="172"/>
      <c r="J49" s="166"/>
    </row>
    <row r="50" spans="1:10" ht="12.75" customHeight="1" x14ac:dyDescent="0.25">
      <c r="A50" s="139" t="str">
        <f>'SC3'!A14</f>
        <v>Total By Income Source</v>
      </c>
      <c r="B50" s="111">
        <f>'SC3'!C14</f>
        <v>57729753.519999996</v>
      </c>
      <c r="C50" s="43">
        <f>'SC3'!D14</f>
        <v>4213513.2299999995</v>
      </c>
      <c r="D50" s="41">
        <f>'SC3'!E14</f>
        <v>3886743.83</v>
      </c>
      <c r="E50" s="41">
        <f>'SC3'!F14</f>
        <v>3836324.4800000004</v>
      </c>
      <c r="F50" s="41">
        <f>'SC3'!G14</f>
        <v>3233164.09</v>
      </c>
      <c r="G50" s="90">
        <f>'SC3'!H14</f>
        <v>3544594.38</v>
      </c>
      <c r="H50" s="41">
        <f>'SC3'!I14</f>
        <v>21661426.529999994</v>
      </c>
      <c r="I50" s="90">
        <f>'SC3'!J14</f>
        <v>76512738.069999993</v>
      </c>
      <c r="J50" s="119">
        <f>'SC3'!K14</f>
        <v>174618258.13000003</v>
      </c>
    </row>
    <row r="51" spans="1:10" ht="12.75" customHeight="1" x14ac:dyDescent="0.25">
      <c r="A51" s="129" t="str">
        <f>LEFT('SC4'!A5,22)</f>
        <v>Creditors Age Analysis</v>
      </c>
      <c r="B51" s="162"/>
      <c r="C51" s="161"/>
      <c r="D51" s="27"/>
      <c r="E51" s="27"/>
      <c r="F51" s="27"/>
      <c r="G51" s="27"/>
      <c r="H51" s="27"/>
      <c r="I51" s="172"/>
      <c r="J51" s="166"/>
    </row>
    <row r="52" spans="1:10" ht="12.75" customHeight="1" x14ac:dyDescent="0.25">
      <c r="A52" s="139" t="s">
        <v>463</v>
      </c>
      <c r="B52" s="111">
        <f>'SC4'!C15</f>
        <v>111782083.01000002</v>
      </c>
      <c r="C52" s="43">
        <f>'SC4'!D15</f>
        <v>0</v>
      </c>
      <c r="D52" s="41">
        <f>'SC4'!E15</f>
        <v>0</v>
      </c>
      <c r="E52" s="41">
        <f>'SC4'!F15</f>
        <v>0</v>
      </c>
      <c r="F52" s="41">
        <f>'SC4'!G15</f>
        <v>0</v>
      </c>
      <c r="G52" s="90">
        <f>'SC4'!H15</f>
        <v>0</v>
      </c>
      <c r="H52" s="41">
        <f>'SC4'!I15</f>
        <v>0</v>
      </c>
      <c r="I52" s="90">
        <f>'SC4'!J15</f>
        <v>0</v>
      </c>
      <c r="J52" s="119">
        <f>'SC4'!K15</f>
        <v>111782083.01000002</v>
      </c>
    </row>
    <row r="53" spans="1:10" ht="12.75" customHeight="1" x14ac:dyDescent="0.25">
      <c r="A53" s="128"/>
      <c r="B53" s="163"/>
      <c r="C53" s="167"/>
      <c r="D53" s="168"/>
      <c r="E53" s="168"/>
      <c r="F53" s="168"/>
      <c r="G53" s="168"/>
      <c r="H53" s="168"/>
      <c r="I53" s="176"/>
      <c r="J53" s="169"/>
    </row>
    <row r="54" spans="1:10" ht="12.75" customHeight="1" x14ac:dyDescent="0.25">
      <c r="B54" s="130"/>
      <c r="C54" s="130"/>
      <c r="D54" s="130"/>
      <c r="E54" s="130"/>
      <c r="F54" s="130"/>
      <c r="G54" s="130"/>
      <c r="H54" s="130"/>
      <c r="I54" s="243"/>
      <c r="J54" s="130"/>
    </row>
    <row r="55" spans="1:10" x14ac:dyDescent="0.25">
      <c r="A55" s="972"/>
      <c r="B55" s="972"/>
      <c r="C55" s="972"/>
      <c r="D55" s="972"/>
      <c r="E55" s="972"/>
      <c r="F55" s="972"/>
      <c r="G55" s="972"/>
      <c r="H55" s="972"/>
      <c r="I55" s="972"/>
      <c r="J55" s="972"/>
    </row>
    <row r="56" spans="1:10" x14ac:dyDescent="0.25">
      <c r="A56" s="72"/>
      <c r="B56" s="72"/>
      <c r="C56" s="72"/>
      <c r="D56" s="72"/>
      <c r="E56" s="72"/>
      <c r="F56" s="72"/>
      <c r="G56" s="72"/>
      <c r="H56" s="72"/>
      <c r="I56" s="58"/>
      <c r="J56" s="72"/>
    </row>
  </sheetData>
  <sheetProtection password="C646" sheet="1" objects="1" scenarios="1"/>
  <mergeCells count="3">
    <mergeCell ref="A55:J55"/>
    <mergeCell ref="A2:A3"/>
    <mergeCell ref="C2:J2"/>
  </mergeCells>
  <phoneticPr fontId="3" type="noConversion"/>
  <printOptions horizontalCentered="1"/>
  <pageMargins left="0.19685039370078741" right="0.19685039370078741" top="0.59055118110236227" bottom="0.59055118110236227" header="0.51181102362204722" footer="0.51181102362204722"/>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1">
    <tabColor indexed="44"/>
    <pageSetUpPr fitToPage="1"/>
  </sheetPr>
  <dimension ref="A1:R58"/>
  <sheetViews>
    <sheetView showGridLines="0" view="pageBreakPreview" zoomScaleNormal="100" zoomScaleSheetLayoutView="100" workbookViewId="0">
      <pane xSplit="2" ySplit="4" topLeftCell="C37" activePane="bottomRight" state="frozen"/>
      <selection pane="topRight"/>
      <selection pane="bottomLeft"/>
      <selection pane="bottomRight" activeCell="G51" sqref="G51"/>
    </sheetView>
  </sheetViews>
  <sheetFormatPr defaultColWidth="9.140625" defaultRowHeight="12.75" x14ac:dyDescent="0.25"/>
  <cols>
    <col min="1" max="1" width="32.7109375" style="22" customWidth="1"/>
    <col min="2" max="2" width="3.5703125" style="54" customWidth="1"/>
    <col min="3" max="8" width="8.7109375" style="22" customWidth="1"/>
    <col min="9" max="10" width="6.7109375" style="22" customWidth="1"/>
    <col min="11" max="11" width="8.7109375" style="22" customWidth="1"/>
    <col min="12" max="12" width="9.85546875" style="22" customWidth="1"/>
    <col min="13" max="14" width="9.5703125" style="22" customWidth="1"/>
    <col min="15" max="16" width="21.42578125" style="22" bestFit="1" customWidth="1"/>
    <col min="17" max="17" width="11.7109375" style="22" bestFit="1" customWidth="1"/>
    <col min="18" max="18" width="9.5703125" style="22" customWidth="1"/>
    <col min="19" max="19" width="9.85546875" style="22" customWidth="1"/>
    <col min="20" max="20" width="9.140625" style="22"/>
    <col min="21" max="21" width="9.5703125" style="22" bestFit="1" customWidth="1"/>
    <col min="22" max="16384" width="9.140625" style="22"/>
  </cols>
  <sheetData>
    <row r="1" spans="1:18" ht="13.5" x14ac:dyDescent="0.25">
      <c r="A1" s="982" t="str">
        <f>muni&amp; " - "&amp;S71A&amp; " - "&amp;date</f>
        <v>WC025 Breede Valley - Table C2 Monthly Budget Statement - Financial Performance (functional classification) - Q4 Fourth Quarter</v>
      </c>
      <c r="B1" s="983"/>
      <c r="C1" s="983"/>
      <c r="D1" s="983"/>
      <c r="E1" s="983"/>
      <c r="F1" s="983"/>
      <c r="G1" s="983"/>
      <c r="H1" s="983"/>
      <c r="I1" s="983"/>
      <c r="J1" s="983"/>
      <c r="K1" s="984"/>
    </row>
    <row r="2" spans="1:18" x14ac:dyDescent="0.25">
      <c r="A2" s="980" t="str">
        <f>desc</f>
        <v>Description</v>
      </c>
      <c r="B2" s="978" t="str">
        <f>head27</f>
        <v>Ref</v>
      </c>
      <c r="C2" s="21" t="str">
        <f>Head1</f>
        <v>2017/18</v>
      </c>
      <c r="D2" s="194" t="str">
        <f>Head2</f>
        <v>Budget Year 2018/19</v>
      </c>
      <c r="E2" s="192"/>
      <c r="F2" s="192"/>
      <c r="G2" s="192"/>
      <c r="H2" s="192"/>
      <c r="I2" s="192"/>
      <c r="J2" s="192"/>
      <c r="K2" s="193"/>
    </row>
    <row r="3" spans="1:18" ht="25.5" x14ac:dyDescent="0.25">
      <c r="A3" s="981"/>
      <c r="B3" s="979"/>
      <c r="C3" s="25" t="str">
        <f>Head5</f>
        <v>Audited Outcome</v>
      </c>
      <c r="D3" s="124" t="str">
        <f>Head6</f>
        <v>Original Budget</v>
      </c>
      <c r="E3" s="24" t="str">
        <f>Head7</f>
        <v>Adjusted Budget</v>
      </c>
      <c r="F3" s="24" t="str">
        <f>Head38</f>
        <v>Monthly actual</v>
      </c>
      <c r="G3" s="24" t="str">
        <f>Head39</f>
        <v>YearTD actual</v>
      </c>
      <c r="H3" s="24" t="str">
        <f>Head40</f>
        <v>YearTD budget</v>
      </c>
      <c r="I3" s="24" t="str">
        <f>Head41</f>
        <v>YTD variance</v>
      </c>
      <c r="J3" s="191" t="str">
        <f>Head41</f>
        <v>YTD variance</v>
      </c>
      <c r="K3" s="155" t="str">
        <f>Head8</f>
        <v>Full Year Forecast</v>
      </c>
    </row>
    <row r="4" spans="1:18" x14ac:dyDescent="0.25">
      <c r="A4" s="31" t="s">
        <v>678</v>
      </c>
      <c r="B4" s="353">
        <v>1</v>
      </c>
      <c r="C4" s="351"/>
      <c r="D4" s="203"/>
      <c r="E4" s="204"/>
      <c r="F4" s="74"/>
      <c r="G4" s="74"/>
      <c r="H4" s="74"/>
      <c r="I4" s="74"/>
      <c r="J4" s="205" t="s">
        <v>586</v>
      </c>
      <c r="K4" s="187"/>
    </row>
    <row r="5" spans="1:18" ht="12.75" customHeight="1" x14ac:dyDescent="0.25">
      <c r="A5" s="32" t="s">
        <v>1170</v>
      </c>
      <c r="B5" s="346"/>
      <c r="C5" s="190"/>
      <c r="D5" s="358"/>
      <c r="E5" s="201"/>
      <c r="F5" s="201"/>
      <c r="G5" s="201"/>
      <c r="H5" s="201"/>
      <c r="I5" s="201"/>
      <c r="J5" s="201"/>
      <c r="K5" s="202"/>
    </row>
    <row r="6" spans="1:18" ht="12.75" customHeight="1" x14ac:dyDescent="0.25">
      <c r="A6" s="345" t="s">
        <v>141</v>
      </c>
      <c r="B6" s="346"/>
      <c r="C6" s="159">
        <f t="shared" ref="C6:H6" si="0">SUM(C7:C9)</f>
        <v>186088895.37</v>
      </c>
      <c r="D6" s="222">
        <f t="shared" si="0"/>
        <v>202676542</v>
      </c>
      <c r="E6" s="46">
        <f t="shared" si="0"/>
        <v>194123302</v>
      </c>
      <c r="F6" s="46">
        <f t="shared" si="0"/>
        <v>11430294.42</v>
      </c>
      <c r="G6" s="46">
        <f t="shared" si="0"/>
        <v>194950653.90000004</v>
      </c>
      <c r="H6" s="46">
        <f t="shared" si="0"/>
        <v>194123302</v>
      </c>
      <c r="I6" s="41">
        <f t="shared" ref="I6:I13" si="1">G6-H6</f>
        <v>827351.90000003576</v>
      </c>
      <c r="J6" s="165">
        <f>IF(I6=0,"",I6/H6)</f>
        <v>4.2619916902095333E-3</v>
      </c>
      <c r="K6" s="159">
        <f>SUM(K7:K9)</f>
        <v>194123302</v>
      </c>
      <c r="Q6" s="61"/>
      <c r="R6" s="62"/>
    </row>
    <row r="7" spans="1:18" ht="12.75" customHeight="1" x14ac:dyDescent="0.25">
      <c r="A7" s="89" t="s">
        <v>111</v>
      </c>
      <c r="B7" s="346"/>
      <c r="C7" s="119">
        <f>'C2C'!C7</f>
        <v>1269661.8600000001</v>
      </c>
      <c r="D7" s="221">
        <f>'C2C'!D7</f>
        <v>138800</v>
      </c>
      <c r="E7" s="41">
        <f>'C2C'!E7</f>
        <v>1148790</v>
      </c>
      <c r="F7" s="41">
        <f>'C2C'!F7</f>
        <v>42027.08</v>
      </c>
      <c r="G7" s="41">
        <f>'C2C'!G7</f>
        <v>427098.49</v>
      </c>
      <c r="H7" s="41">
        <f>'C2C'!H7</f>
        <v>1148790</v>
      </c>
      <c r="I7" s="41">
        <f t="shared" si="1"/>
        <v>-721691.51</v>
      </c>
      <c r="J7" s="165">
        <f t="shared" ref="J7:J26" si="2">IF(I7=0,"",I7/H7)</f>
        <v>-0.62821883024747782</v>
      </c>
      <c r="K7" s="119">
        <f>'C2C'!K7</f>
        <v>1148790</v>
      </c>
      <c r="Q7" s="61"/>
      <c r="R7" s="62"/>
    </row>
    <row r="8" spans="1:18" ht="12.75" customHeight="1" x14ac:dyDescent="0.25">
      <c r="A8" s="89" t="s">
        <v>1156</v>
      </c>
      <c r="B8" s="346"/>
      <c r="C8" s="468">
        <f>'C2C'!C10</f>
        <v>184645180.66</v>
      </c>
      <c r="D8" s="477">
        <f>'C2C'!D10</f>
        <v>202537742</v>
      </c>
      <c r="E8" s="478">
        <f>'C2C'!E10</f>
        <v>192930358</v>
      </c>
      <c r="F8" s="478">
        <f>'C2C'!F10</f>
        <v>11388267.34</v>
      </c>
      <c r="G8" s="478">
        <f>'C2C'!G10</f>
        <v>194523555.41000003</v>
      </c>
      <c r="H8" s="478">
        <f>'C2C'!H10</f>
        <v>192930358</v>
      </c>
      <c r="I8" s="41">
        <f t="shared" si="1"/>
        <v>1593197.4100000262</v>
      </c>
      <c r="J8" s="165">
        <f t="shared" si="2"/>
        <v>8.2578886315031151E-3</v>
      </c>
      <c r="K8" s="479">
        <f>'C2C'!K10</f>
        <v>192930358</v>
      </c>
      <c r="Q8" s="61"/>
      <c r="R8" s="62"/>
    </row>
    <row r="9" spans="1:18" ht="12.75" customHeight="1" x14ac:dyDescent="0.25">
      <c r="A9" s="89" t="s">
        <v>1168</v>
      </c>
      <c r="B9" s="346"/>
      <c r="C9" s="119">
        <f>'C2C'!C25</f>
        <v>174052.85</v>
      </c>
      <c r="D9" s="221">
        <f>'C2C'!D25</f>
        <v>0</v>
      </c>
      <c r="E9" s="41">
        <f>'C2C'!E25</f>
        <v>44154</v>
      </c>
      <c r="F9" s="41">
        <f>'C2C'!F25</f>
        <v>0</v>
      </c>
      <c r="G9" s="41">
        <f>'C2C'!G25</f>
        <v>0</v>
      </c>
      <c r="H9" s="41">
        <f>'C2C'!H25</f>
        <v>44154</v>
      </c>
      <c r="I9" s="41">
        <f t="shared" si="1"/>
        <v>-44154</v>
      </c>
      <c r="J9" s="165">
        <f t="shared" si="2"/>
        <v>-1</v>
      </c>
      <c r="K9" s="119">
        <f>'C2C'!K25</f>
        <v>44154</v>
      </c>
      <c r="Q9" s="61"/>
      <c r="R9" s="62"/>
    </row>
    <row r="10" spans="1:18" ht="12.75" customHeight="1" x14ac:dyDescent="0.25">
      <c r="A10" s="345" t="s">
        <v>112</v>
      </c>
      <c r="B10" s="346"/>
      <c r="C10" s="159">
        <f t="shared" ref="C10:H10" si="3">SUM(C11:C15)</f>
        <v>48046631.590000004</v>
      </c>
      <c r="D10" s="222">
        <f t="shared" si="3"/>
        <v>63268436</v>
      </c>
      <c r="E10" s="46">
        <f t="shared" si="3"/>
        <v>64741628</v>
      </c>
      <c r="F10" s="46">
        <f t="shared" si="3"/>
        <v>631479.93999999994</v>
      </c>
      <c r="G10" s="46">
        <f t="shared" si="3"/>
        <v>37537165.850000001</v>
      </c>
      <c r="H10" s="46">
        <f t="shared" si="3"/>
        <v>64741628</v>
      </c>
      <c r="I10" s="41">
        <f t="shared" si="1"/>
        <v>-27204462.149999999</v>
      </c>
      <c r="J10" s="165">
        <f t="shared" si="2"/>
        <v>-0.42020046437510034</v>
      </c>
      <c r="K10" s="159">
        <f>SUM(K11:K15)</f>
        <v>64741628</v>
      </c>
      <c r="Q10" s="61"/>
      <c r="R10" s="62"/>
    </row>
    <row r="11" spans="1:18" ht="12.75" customHeight="1" x14ac:dyDescent="0.25">
      <c r="A11" s="89" t="s">
        <v>113</v>
      </c>
      <c r="B11" s="346"/>
      <c r="C11" s="119">
        <f>'C2C'!C28</f>
        <v>10708990.079999998</v>
      </c>
      <c r="D11" s="221">
        <f>'C2C'!D28</f>
        <v>11157300</v>
      </c>
      <c r="E11" s="41">
        <f>'C2C'!E28</f>
        <v>15272301</v>
      </c>
      <c r="F11" s="41">
        <f>'C2C'!F28</f>
        <v>109793.43999999999</v>
      </c>
      <c r="G11" s="41">
        <f>'C2C'!G28</f>
        <v>10409027.820000004</v>
      </c>
      <c r="H11" s="41">
        <f>'C2C'!H28</f>
        <v>15272301</v>
      </c>
      <c r="I11" s="41">
        <f t="shared" si="1"/>
        <v>-4863273.179999996</v>
      </c>
      <c r="J11" s="165">
        <f t="shared" si="2"/>
        <v>-0.31843748888919854</v>
      </c>
      <c r="K11" s="119">
        <f>'C2C'!K28</f>
        <v>15272301</v>
      </c>
      <c r="Q11" s="61"/>
      <c r="R11" s="62"/>
    </row>
    <row r="12" spans="1:18" ht="12.75" customHeight="1" x14ac:dyDescent="0.25">
      <c r="A12" s="89" t="s">
        <v>114</v>
      </c>
      <c r="B12" s="346"/>
      <c r="C12" s="119">
        <f>'C2C'!C50</f>
        <v>3696251.46</v>
      </c>
      <c r="D12" s="221">
        <f>'C2C'!D50</f>
        <v>11250205</v>
      </c>
      <c r="E12" s="41">
        <f>'C2C'!E50</f>
        <v>11250205</v>
      </c>
      <c r="F12" s="41">
        <f>'C2C'!F50</f>
        <v>133233.49000000002</v>
      </c>
      <c r="G12" s="41">
        <f>'C2C'!G50</f>
        <v>3453394.63</v>
      </c>
      <c r="H12" s="41">
        <f>'C2C'!H50</f>
        <v>11250205</v>
      </c>
      <c r="I12" s="41">
        <f t="shared" si="1"/>
        <v>-7796810.3700000001</v>
      </c>
      <c r="J12" s="165">
        <f t="shared" si="2"/>
        <v>-0.69303718198912823</v>
      </c>
      <c r="K12" s="119">
        <f>'C2C'!K50</f>
        <v>11250205</v>
      </c>
      <c r="Q12" s="61"/>
      <c r="R12" s="62"/>
    </row>
    <row r="13" spans="1:18" ht="12.75" customHeight="1" x14ac:dyDescent="0.25">
      <c r="A13" s="89" t="s">
        <v>115</v>
      </c>
      <c r="B13" s="346"/>
      <c r="C13" s="119">
        <f>'C2C'!C56</f>
        <v>1279743.6500000001</v>
      </c>
      <c r="D13" s="221">
        <f>'C2C'!D56</f>
        <v>1501395</v>
      </c>
      <c r="E13" s="41">
        <f>'C2C'!E56</f>
        <v>3121395</v>
      </c>
      <c r="F13" s="41">
        <f>'C2C'!F56</f>
        <v>23469.79</v>
      </c>
      <c r="G13" s="41">
        <f>'C2C'!G56</f>
        <v>1533185.47</v>
      </c>
      <c r="H13" s="41">
        <f>'C2C'!H56</f>
        <v>3121395</v>
      </c>
      <c r="I13" s="41">
        <f t="shared" si="1"/>
        <v>-1588209.53</v>
      </c>
      <c r="J13" s="165">
        <f t="shared" si="2"/>
        <v>-0.5088140174505309</v>
      </c>
      <c r="K13" s="119">
        <f>'C2C'!K56</f>
        <v>3121395</v>
      </c>
      <c r="Q13" s="61"/>
      <c r="R13" s="62"/>
    </row>
    <row r="14" spans="1:18" ht="12.75" customHeight="1" x14ac:dyDescent="0.25">
      <c r="A14" s="89" t="s">
        <v>724</v>
      </c>
      <c r="B14" s="346"/>
      <c r="C14" s="119">
        <f>'C2C'!C63</f>
        <v>32361646.400000002</v>
      </c>
      <c r="D14" s="221">
        <f>'C2C'!D63</f>
        <v>39359536</v>
      </c>
      <c r="E14" s="41">
        <f>'C2C'!E63</f>
        <v>35097727</v>
      </c>
      <c r="F14" s="41">
        <f>'C2C'!F63</f>
        <v>364983.22</v>
      </c>
      <c r="G14" s="41">
        <f>'C2C'!G63</f>
        <v>22141557.929999996</v>
      </c>
      <c r="H14" s="41">
        <f>'C2C'!H63</f>
        <v>35097727</v>
      </c>
      <c r="I14" s="41">
        <f t="shared" ref="I14:I19" si="4">G14-H14</f>
        <v>-12956169.070000004</v>
      </c>
      <c r="J14" s="165">
        <f t="shared" ref="J14:J19" si="5">IF(I14=0,"",I14/H14)</f>
        <v>-0.36914553099122355</v>
      </c>
      <c r="K14" s="119">
        <f>'C2C'!K63</f>
        <v>35097727</v>
      </c>
      <c r="Q14" s="61"/>
      <c r="R14" s="62"/>
    </row>
    <row r="15" spans="1:18" ht="12.75" customHeight="1" x14ac:dyDescent="0.25">
      <c r="A15" s="89" t="s">
        <v>621</v>
      </c>
      <c r="B15" s="346"/>
      <c r="C15" s="468">
        <f>'C2C'!C66</f>
        <v>0</v>
      </c>
      <c r="D15" s="477">
        <f>'C2C'!D66</f>
        <v>0</v>
      </c>
      <c r="E15" s="478">
        <f>'C2C'!E66</f>
        <v>0</v>
      </c>
      <c r="F15" s="478">
        <f>'C2C'!F66</f>
        <v>0</v>
      </c>
      <c r="G15" s="478">
        <f>'C2C'!G66</f>
        <v>0</v>
      </c>
      <c r="H15" s="478">
        <f>'C2C'!H66</f>
        <v>0</v>
      </c>
      <c r="I15" s="41">
        <f t="shared" si="4"/>
        <v>0</v>
      </c>
      <c r="J15" s="165" t="str">
        <f t="shared" si="5"/>
        <v/>
      </c>
      <c r="K15" s="479">
        <f>'C2C'!K66</f>
        <v>0</v>
      </c>
      <c r="Q15" s="61"/>
      <c r="R15" s="62"/>
    </row>
    <row r="16" spans="1:18" ht="12.75" customHeight="1" x14ac:dyDescent="0.25">
      <c r="A16" s="345" t="s">
        <v>116</v>
      </c>
      <c r="B16" s="346"/>
      <c r="C16" s="159">
        <f t="shared" ref="C16:H16" si="6">SUM(C17:C19)</f>
        <v>154657472.05000004</v>
      </c>
      <c r="D16" s="222">
        <f t="shared" si="6"/>
        <v>111898052</v>
      </c>
      <c r="E16" s="46">
        <f t="shared" si="6"/>
        <v>156533470</v>
      </c>
      <c r="F16" s="46">
        <f t="shared" si="6"/>
        <v>18097189.789999999</v>
      </c>
      <c r="G16" s="46">
        <f t="shared" si="6"/>
        <v>131898070.22999999</v>
      </c>
      <c r="H16" s="46">
        <f t="shared" si="6"/>
        <v>156533470</v>
      </c>
      <c r="I16" s="41">
        <f t="shared" si="4"/>
        <v>-24635399.770000011</v>
      </c>
      <c r="J16" s="165">
        <f t="shared" si="5"/>
        <v>-0.15738103659236591</v>
      </c>
      <c r="K16" s="159">
        <f>SUM(K17:K19)</f>
        <v>156533470</v>
      </c>
      <c r="Q16" s="61"/>
      <c r="R16" s="62"/>
    </row>
    <row r="17" spans="1:18" ht="12.75" customHeight="1" x14ac:dyDescent="0.25">
      <c r="A17" s="89" t="s">
        <v>117</v>
      </c>
      <c r="B17" s="346"/>
      <c r="C17" s="119">
        <f>'C2C'!C75</f>
        <v>8990235.9299999997</v>
      </c>
      <c r="D17" s="221">
        <f>'C2C'!D75</f>
        <v>4832285</v>
      </c>
      <c r="E17" s="41">
        <f>'C2C'!E75</f>
        <v>6330703</v>
      </c>
      <c r="F17" s="41">
        <f>'C2C'!F75</f>
        <v>77747.710000000006</v>
      </c>
      <c r="G17" s="41">
        <f>'C2C'!G75</f>
        <v>1331512.02</v>
      </c>
      <c r="H17" s="41">
        <f>'C2C'!H75</f>
        <v>6330703</v>
      </c>
      <c r="I17" s="41">
        <f t="shared" si="4"/>
        <v>-4999190.9800000004</v>
      </c>
      <c r="J17" s="165">
        <f t="shared" si="5"/>
        <v>-0.78967390825315931</v>
      </c>
      <c r="K17" s="119">
        <f>'C2C'!K75</f>
        <v>6330703</v>
      </c>
      <c r="Q17" s="61"/>
      <c r="R17" s="62"/>
    </row>
    <row r="18" spans="1:18" ht="12.75" customHeight="1" x14ac:dyDescent="0.25">
      <c r="A18" s="89" t="s">
        <v>118</v>
      </c>
      <c r="B18" s="346"/>
      <c r="C18" s="119">
        <f>'C2C'!C86</f>
        <v>142942092.51000002</v>
      </c>
      <c r="D18" s="221">
        <f>'C2C'!D86</f>
        <v>104803520</v>
      </c>
      <c r="E18" s="41">
        <f>'C2C'!E86</f>
        <v>147940520</v>
      </c>
      <c r="F18" s="41">
        <f>'C2C'!F86</f>
        <v>18019442.079999998</v>
      </c>
      <c r="G18" s="41">
        <f>'C2C'!G86</f>
        <v>129483349.97999999</v>
      </c>
      <c r="H18" s="41">
        <f>'C2C'!H86</f>
        <v>147940520</v>
      </c>
      <c r="I18" s="41">
        <f t="shared" si="4"/>
        <v>-18457170.020000011</v>
      </c>
      <c r="J18" s="165">
        <f t="shared" si="5"/>
        <v>-0.12476074857652258</v>
      </c>
      <c r="K18" s="119">
        <f>'C2C'!K86</f>
        <v>147940520</v>
      </c>
      <c r="Q18" s="61"/>
      <c r="R18" s="62"/>
    </row>
    <row r="19" spans="1:18" ht="12.75" customHeight="1" x14ac:dyDescent="0.25">
      <c r="A19" s="89" t="s">
        <v>119</v>
      </c>
      <c r="B19" s="346"/>
      <c r="C19" s="119">
        <f>'C2C'!C93</f>
        <v>2725143.61</v>
      </c>
      <c r="D19" s="221">
        <f>'C2C'!D93</f>
        <v>2262247</v>
      </c>
      <c r="E19" s="41">
        <f>'C2C'!E93</f>
        <v>2262247</v>
      </c>
      <c r="F19" s="41">
        <f>'C2C'!F93</f>
        <v>0</v>
      </c>
      <c r="G19" s="41">
        <f>'C2C'!G93</f>
        <v>1083208.23</v>
      </c>
      <c r="H19" s="41">
        <f>'C2C'!H93</f>
        <v>2262247</v>
      </c>
      <c r="I19" s="41">
        <f t="shared" si="4"/>
        <v>-1179038.77</v>
      </c>
      <c r="J19" s="165">
        <f t="shared" si="5"/>
        <v>-0.52118038834839875</v>
      </c>
      <c r="K19" s="119">
        <f>'C2C'!K93</f>
        <v>2262247</v>
      </c>
      <c r="Q19" s="61"/>
      <c r="R19" s="62"/>
    </row>
    <row r="20" spans="1:18" ht="12.75" customHeight="1" x14ac:dyDescent="0.25">
      <c r="A20" s="345" t="s">
        <v>120</v>
      </c>
      <c r="B20" s="346"/>
      <c r="C20" s="159">
        <f>SUM(C21:C24)</f>
        <v>670729697.70000005</v>
      </c>
      <c r="D20" s="222">
        <f t="shared" ref="D20:I20" si="7">SUM(D21:D24)</f>
        <v>757376017</v>
      </c>
      <c r="E20" s="46">
        <f t="shared" si="7"/>
        <v>762038045</v>
      </c>
      <c r="F20" s="46">
        <f t="shared" si="7"/>
        <v>51017343.490000002</v>
      </c>
      <c r="G20" s="46">
        <f t="shared" si="7"/>
        <v>598148839.50999987</v>
      </c>
      <c r="H20" s="46">
        <f t="shared" si="7"/>
        <v>762038045</v>
      </c>
      <c r="I20" s="41">
        <f t="shared" si="7"/>
        <v>-163889205.4900001</v>
      </c>
      <c r="J20" s="165">
        <f t="shared" si="2"/>
        <v>-0.21506695966866077</v>
      </c>
      <c r="K20" s="159">
        <f>SUM(K21:K24)</f>
        <v>762038045</v>
      </c>
      <c r="Q20" s="61"/>
      <c r="R20" s="62"/>
    </row>
    <row r="21" spans="1:18" ht="12.75" customHeight="1" x14ac:dyDescent="0.25">
      <c r="A21" s="89" t="s">
        <v>1225</v>
      </c>
      <c r="B21" s="346"/>
      <c r="C21" s="119">
        <f>'C2C'!C101</f>
        <v>365505735.31999999</v>
      </c>
      <c r="D21" s="221">
        <f>'C2C'!D101</f>
        <v>421140054</v>
      </c>
      <c r="E21" s="41">
        <f>'C2C'!E101</f>
        <v>423817647</v>
      </c>
      <c r="F21" s="41">
        <f>'C2C'!F101</f>
        <v>35440612.590000004</v>
      </c>
      <c r="G21" s="41">
        <f>'C2C'!G101</f>
        <v>367137400.08999991</v>
      </c>
      <c r="H21" s="41">
        <f>'C2C'!H101</f>
        <v>423817647</v>
      </c>
      <c r="I21" s="41">
        <f>G21-H21</f>
        <v>-56680246.910000086</v>
      </c>
      <c r="J21" s="165">
        <f t="shared" si="2"/>
        <v>-0.13373734508511412</v>
      </c>
      <c r="K21" s="119">
        <f>'C2C'!K101</f>
        <v>423817647</v>
      </c>
      <c r="Q21" s="61"/>
      <c r="R21" s="62"/>
    </row>
    <row r="22" spans="1:18" ht="12.75" customHeight="1" x14ac:dyDescent="0.25">
      <c r="A22" s="89" t="s">
        <v>1229</v>
      </c>
      <c r="B22" s="346"/>
      <c r="C22" s="119">
        <f>'C2C'!C105</f>
        <v>117794462.63000001</v>
      </c>
      <c r="D22" s="221">
        <f>'C2C'!D105</f>
        <v>137500730</v>
      </c>
      <c r="E22" s="41">
        <f>'C2C'!E105</f>
        <v>137129572</v>
      </c>
      <c r="F22" s="41">
        <f>'C2C'!F105</f>
        <v>7090131.0700000003</v>
      </c>
      <c r="G22" s="41">
        <f>'C2C'!G105</f>
        <v>81674351.200000003</v>
      </c>
      <c r="H22" s="41">
        <f>'C2C'!H105</f>
        <v>137129572</v>
      </c>
      <c r="I22" s="41">
        <f>G22-H22</f>
        <v>-55455220.799999997</v>
      </c>
      <c r="J22" s="165">
        <f t="shared" si="2"/>
        <v>-0.40440015958045866</v>
      </c>
      <c r="K22" s="119">
        <f>'C2C'!K105</f>
        <v>137129572</v>
      </c>
      <c r="Q22" s="61"/>
      <c r="R22" s="62"/>
    </row>
    <row r="23" spans="1:18" ht="12.75" customHeight="1" x14ac:dyDescent="0.25">
      <c r="A23" s="89" t="s">
        <v>121</v>
      </c>
      <c r="B23" s="346"/>
      <c r="C23" s="468">
        <f>'C2C'!C109</f>
        <v>135670751.54999998</v>
      </c>
      <c r="D23" s="477">
        <f>'C2C'!D109</f>
        <v>145058880</v>
      </c>
      <c r="E23" s="478">
        <f>'C2C'!E109</f>
        <v>146281641</v>
      </c>
      <c r="F23" s="478">
        <f>'C2C'!F109</f>
        <v>5465295.3899999997</v>
      </c>
      <c r="G23" s="478">
        <f>'C2C'!G109</f>
        <v>95954853.459999993</v>
      </c>
      <c r="H23" s="478">
        <f>'C2C'!H109</f>
        <v>146281641</v>
      </c>
      <c r="I23" s="41">
        <f>G23-H23</f>
        <v>-50326787.540000007</v>
      </c>
      <c r="J23" s="165">
        <f t="shared" si="2"/>
        <v>-0.34404035390879983</v>
      </c>
      <c r="K23" s="479">
        <f>'C2C'!K109</f>
        <v>146281641</v>
      </c>
      <c r="Q23" s="61"/>
      <c r="R23" s="62"/>
    </row>
    <row r="24" spans="1:18" ht="12.75" customHeight="1" x14ac:dyDescent="0.25">
      <c r="A24" s="89" t="s">
        <v>122</v>
      </c>
      <c r="B24" s="346"/>
      <c r="C24" s="119">
        <f>'C2C'!C114</f>
        <v>51758748.200000003</v>
      </c>
      <c r="D24" s="221">
        <f>'C2C'!D114</f>
        <v>53676353</v>
      </c>
      <c r="E24" s="41">
        <f>'C2C'!E114</f>
        <v>54809185</v>
      </c>
      <c r="F24" s="41">
        <f>'C2C'!F114</f>
        <v>3021304.4400000004</v>
      </c>
      <c r="G24" s="41">
        <f>'C2C'!G114</f>
        <v>53382234.759999998</v>
      </c>
      <c r="H24" s="41">
        <f>'C2C'!H114</f>
        <v>54809185</v>
      </c>
      <c r="I24" s="41">
        <f>G24-H24</f>
        <v>-1426950.2400000021</v>
      </c>
      <c r="J24" s="165">
        <f t="shared" si="2"/>
        <v>-2.603487426423148E-2</v>
      </c>
      <c r="K24" s="119">
        <f>'C2C'!K114</f>
        <v>54809185</v>
      </c>
      <c r="Q24" s="61"/>
      <c r="R24" s="62"/>
    </row>
    <row r="25" spans="1:18" ht="12.75" customHeight="1" x14ac:dyDescent="0.25">
      <c r="A25" s="345" t="s">
        <v>731</v>
      </c>
      <c r="B25" s="346">
        <v>4</v>
      </c>
      <c r="C25" s="159">
        <f>'C2C'!C119</f>
        <v>0</v>
      </c>
      <c r="D25" s="222">
        <f>'C2C'!D119</f>
        <v>0</v>
      </c>
      <c r="E25" s="46">
        <f>'C2C'!E119</f>
        <v>0</v>
      </c>
      <c r="F25" s="46">
        <f>'C2C'!F119</f>
        <v>0</v>
      </c>
      <c r="G25" s="46">
        <f>'C2C'!G119</f>
        <v>0</v>
      </c>
      <c r="H25" s="46">
        <f>'C2C'!H119</f>
        <v>0</v>
      </c>
      <c r="I25" s="46">
        <f>G25-H25</f>
        <v>0</v>
      </c>
      <c r="J25" s="121" t="str">
        <f t="shared" si="2"/>
        <v/>
      </c>
      <c r="K25" s="159">
        <f>'C2C'!K119</f>
        <v>0</v>
      </c>
      <c r="Q25" s="61"/>
      <c r="R25" s="62"/>
    </row>
    <row r="26" spans="1:18" ht="12.75" customHeight="1" x14ac:dyDescent="0.25">
      <c r="A26" s="81" t="s">
        <v>1242</v>
      </c>
      <c r="B26" s="452">
        <v>2</v>
      </c>
      <c r="C26" s="206">
        <f>C6+C10+C16+C20+C25</f>
        <v>1059522696.71</v>
      </c>
      <c r="D26" s="223">
        <f t="shared" ref="D26:I26" si="8">D6+D10+D16+D20+D25</f>
        <v>1135219047</v>
      </c>
      <c r="E26" s="65">
        <f t="shared" si="8"/>
        <v>1177436445</v>
      </c>
      <c r="F26" s="65">
        <f t="shared" si="8"/>
        <v>81176307.640000001</v>
      </c>
      <c r="G26" s="65">
        <f t="shared" si="8"/>
        <v>962534729.48999989</v>
      </c>
      <c r="H26" s="65">
        <f t="shared" si="8"/>
        <v>1177436445</v>
      </c>
      <c r="I26" s="65">
        <f t="shared" si="8"/>
        <v>-214901715.51000008</v>
      </c>
      <c r="J26" s="280">
        <f t="shared" si="2"/>
        <v>-0.18251661601149102</v>
      </c>
      <c r="K26" s="120">
        <f>K6+K10+K16+K20+K25</f>
        <v>1177436445</v>
      </c>
      <c r="Q26" s="63"/>
      <c r="R26" s="64"/>
    </row>
    <row r="27" spans="1:18" ht="5.0999999999999996" customHeight="1" x14ac:dyDescent="0.25">
      <c r="A27" s="39"/>
      <c r="B27" s="346"/>
      <c r="C27" s="42"/>
      <c r="D27" s="221"/>
      <c r="E27" s="41"/>
      <c r="F27" s="41"/>
      <c r="G27" s="41"/>
      <c r="H27" s="41"/>
      <c r="I27" s="41"/>
      <c r="J27" s="41"/>
      <c r="K27" s="119"/>
      <c r="Q27" s="60"/>
    </row>
    <row r="28" spans="1:18" ht="12.75" customHeight="1" x14ac:dyDescent="0.25">
      <c r="A28" s="32" t="s">
        <v>1238</v>
      </c>
      <c r="B28" s="354"/>
      <c r="C28" s="42"/>
      <c r="D28" s="221"/>
      <c r="E28" s="41"/>
      <c r="F28" s="41"/>
      <c r="G28" s="41"/>
      <c r="H28" s="41"/>
      <c r="I28" s="41"/>
      <c r="J28" s="41"/>
      <c r="K28" s="119"/>
      <c r="Q28" s="60"/>
    </row>
    <row r="29" spans="1:18" ht="12.75" customHeight="1" x14ac:dyDescent="0.25">
      <c r="A29" s="345" t="s">
        <v>141</v>
      </c>
      <c r="B29" s="346"/>
      <c r="C29" s="159">
        <f t="shared" ref="C29:H29" si="9">SUM(C30:C32)</f>
        <v>183028349.39000002</v>
      </c>
      <c r="D29" s="222">
        <f t="shared" si="9"/>
        <v>218261099</v>
      </c>
      <c r="E29" s="46">
        <f t="shared" si="9"/>
        <v>203581778</v>
      </c>
      <c r="F29" s="46">
        <f t="shared" si="9"/>
        <v>18136984.120000005</v>
      </c>
      <c r="G29" s="46">
        <f t="shared" si="9"/>
        <v>180834685.34</v>
      </c>
      <c r="H29" s="46">
        <f t="shared" si="9"/>
        <v>203581778</v>
      </c>
      <c r="I29" s="41">
        <f t="shared" ref="I29:I48" si="10">G29-H29</f>
        <v>-22747092.659999996</v>
      </c>
      <c r="J29" s="165">
        <f>IF(I29=0,"",I29/H29)</f>
        <v>-0.11173442379504121</v>
      </c>
      <c r="K29" s="159">
        <f>SUM(K30:K32)</f>
        <v>203581778</v>
      </c>
      <c r="Q29" s="61"/>
    </row>
    <row r="30" spans="1:18" ht="12.75" customHeight="1" x14ac:dyDescent="0.25">
      <c r="A30" s="89" t="s">
        <v>111</v>
      </c>
      <c r="B30" s="346"/>
      <c r="C30" s="119">
        <f>'C2C'!C130</f>
        <v>38718393.820000008</v>
      </c>
      <c r="D30" s="221">
        <f>'C2C'!D130</f>
        <v>37559672</v>
      </c>
      <c r="E30" s="41">
        <f>'C2C'!E130</f>
        <v>37032030</v>
      </c>
      <c r="F30" s="41">
        <f>'C2C'!F130</f>
        <v>2698291.78</v>
      </c>
      <c r="G30" s="41">
        <f>'C2C'!G130</f>
        <v>31346261.250000004</v>
      </c>
      <c r="H30" s="41">
        <f>'C2C'!H130</f>
        <v>37032030</v>
      </c>
      <c r="I30" s="41">
        <f t="shared" si="10"/>
        <v>-5685768.7499999963</v>
      </c>
      <c r="J30" s="165">
        <f t="shared" ref="J30:J49" si="11">IF(I30=0,"",I30/H30)</f>
        <v>-0.15353651285117226</v>
      </c>
      <c r="K30" s="119">
        <f>'C2C'!K130</f>
        <v>37032030</v>
      </c>
      <c r="Q30" s="61"/>
    </row>
    <row r="31" spans="1:18" ht="12.75" customHeight="1" x14ac:dyDescent="0.25">
      <c r="A31" s="89" t="s">
        <v>1156</v>
      </c>
      <c r="B31" s="346"/>
      <c r="C31" s="468">
        <f>'C2C'!C133</f>
        <v>141632485.41999999</v>
      </c>
      <c r="D31" s="477">
        <f>'C2C'!D133</f>
        <v>176910080</v>
      </c>
      <c r="E31" s="478">
        <f>'C2C'!E133</f>
        <v>163489601</v>
      </c>
      <c r="F31" s="478">
        <f>'C2C'!F133</f>
        <v>15158857.480000004</v>
      </c>
      <c r="G31" s="478">
        <f>'C2C'!G133</f>
        <v>146471624.86000001</v>
      </c>
      <c r="H31" s="478">
        <f>'C2C'!H133</f>
        <v>163489601</v>
      </c>
      <c r="I31" s="41">
        <f t="shared" si="10"/>
        <v>-17017976.139999986</v>
      </c>
      <c r="J31" s="165">
        <f t="shared" si="11"/>
        <v>-0.10409210149090758</v>
      </c>
      <c r="K31" s="479">
        <f>'C2C'!K133</f>
        <v>163489601</v>
      </c>
      <c r="Q31" s="61"/>
    </row>
    <row r="32" spans="1:18" ht="12.75" customHeight="1" x14ac:dyDescent="0.25">
      <c r="A32" s="89" t="s">
        <v>1168</v>
      </c>
      <c r="B32" s="346"/>
      <c r="C32" s="119">
        <f>'C2C'!C148</f>
        <v>2677470.1500000004</v>
      </c>
      <c r="D32" s="221">
        <f>'C2C'!D148</f>
        <v>3791347</v>
      </c>
      <c r="E32" s="41">
        <f>'C2C'!E148</f>
        <v>3060147</v>
      </c>
      <c r="F32" s="41">
        <f>'C2C'!F148</f>
        <v>279834.86</v>
      </c>
      <c r="G32" s="41">
        <f>'C2C'!G148</f>
        <v>3016799.23</v>
      </c>
      <c r="H32" s="41">
        <f>'C2C'!H148</f>
        <v>3060147</v>
      </c>
      <c r="I32" s="41">
        <f t="shared" si="10"/>
        <v>-43347.770000000019</v>
      </c>
      <c r="J32" s="165">
        <f t="shared" si="11"/>
        <v>-1.4165257420640256E-2</v>
      </c>
      <c r="K32" s="119">
        <f>'C2C'!K148</f>
        <v>3060147</v>
      </c>
      <c r="Q32" s="61"/>
    </row>
    <row r="33" spans="1:17" ht="12.75" customHeight="1" x14ac:dyDescent="0.25">
      <c r="A33" s="345" t="s">
        <v>112</v>
      </c>
      <c r="B33" s="346"/>
      <c r="C33" s="159">
        <f t="shared" ref="C33:H33" si="12">SUM(C34:C38)</f>
        <v>105172845.57999998</v>
      </c>
      <c r="D33" s="222">
        <f t="shared" si="12"/>
        <v>124899554</v>
      </c>
      <c r="E33" s="46">
        <f t="shared" si="12"/>
        <v>108563158</v>
      </c>
      <c r="F33" s="46">
        <f t="shared" si="12"/>
        <v>12957298.76</v>
      </c>
      <c r="G33" s="46">
        <f t="shared" si="12"/>
        <v>101910817.84</v>
      </c>
      <c r="H33" s="46">
        <f t="shared" si="12"/>
        <v>108563158</v>
      </c>
      <c r="I33" s="41">
        <f t="shared" si="10"/>
        <v>-6652340.1599999964</v>
      </c>
      <c r="J33" s="165">
        <f t="shared" si="11"/>
        <v>-6.1276221902093128E-2</v>
      </c>
      <c r="K33" s="159">
        <f>SUM(K34:K38)</f>
        <v>108563158</v>
      </c>
      <c r="Q33" s="61"/>
    </row>
    <row r="34" spans="1:17" ht="12.75" customHeight="1" x14ac:dyDescent="0.25">
      <c r="A34" s="89" t="s">
        <v>113</v>
      </c>
      <c r="B34" s="346"/>
      <c r="C34" s="119">
        <f>'C2C'!C151</f>
        <v>20256306.890000001</v>
      </c>
      <c r="D34" s="221">
        <f>'C2C'!D151</f>
        <v>22882194</v>
      </c>
      <c r="E34" s="41">
        <f>'C2C'!E151</f>
        <v>22176581</v>
      </c>
      <c r="F34" s="41">
        <f>'C2C'!F151</f>
        <v>2109357.2399999998</v>
      </c>
      <c r="G34" s="41">
        <f>'C2C'!G151</f>
        <v>21469408.559999995</v>
      </c>
      <c r="H34" s="41">
        <f>'C2C'!H151</f>
        <v>22176581</v>
      </c>
      <c r="I34" s="41">
        <f t="shared" si="10"/>
        <v>-707172.44000000507</v>
      </c>
      <c r="J34" s="165">
        <f t="shared" si="11"/>
        <v>-3.1888253649198901E-2</v>
      </c>
      <c r="K34" s="119">
        <f>'C2C'!K151</f>
        <v>22176581</v>
      </c>
      <c r="Q34" s="61"/>
    </row>
    <row r="35" spans="1:17" ht="12.75" customHeight="1" x14ac:dyDescent="0.25">
      <c r="A35" s="89" t="s">
        <v>114</v>
      </c>
      <c r="B35" s="346"/>
      <c r="C35" s="119">
        <f>'C2C'!C173</f>
        <v>26073883.940000009</v>
      </c>
      <c r="D35" s="221">
        <f>'C2C'!D173</f>
        <v>32696754</v>
      </c>
      <c r="E35" s="41">
        <f>'C2C'!E173</f>
        <v>26153407</v>
      </c>
      <c r="F35" s="41">
        <f>'C2C'!F173</f>
        <v>2519675.17</v>
      </c>
      <c r="G35" s="41">
        <f>'C2C'!G173</f>
        <v>26643700.080000006</v>
      </c>
      <c r="H35" s="41">
        <f>'C2C'!H173</f>
        <v>26153407</v>
      </c>
      <c r="I35" s="41">
        <f t="shared" si="10"/>
        <v>490293.08000000566</v>
      </c>
      <c r="J35" s="165">
        <f t="shared" si="11"/>
        <v>1.8746814898724502E-2</v>
      </c>
      <c r="K35" s="119">
        <f>'C2C'!K173</f>
        <v>26153407</v>
      </c>
      <c r="Q35" s="61"/>
    </row>
    <row r="36" spans="1:17" ht="12.75" customHeight="1" x14ac:dyDescent="0.25">
      <c r="A36" s="89" t="s">
        <v>115</v>
      </c>
      <c r="B36" s="346"/>
      <c r="C36" s="119">
        <f>'C2C'!C179</f>
        <v>29670658.309999991</v>
      </c>
      <c r="D36" s="221">
        <f>'C2C'!D179</f>
        <v>31261519</v>
      </c>
      <c r="E36" s="41">
        <f>'C2C'!E179</f>
        <v>27725067</v>
      </c>
      <c r="F36" s="41">
        <f>'C2C'!F179</f>
        <v>2907713.99</v>
      </c>
      <c r="G36" s="41">
        <f>'C2C'!G179</f>
        <v>27940925.450000003</v>
      </c>
      <c r="H36" s="41">
        <f>'C2C'!H179</f>
        <v>27725067</v>
      </c>
      <c r="I36" s="41">
        <f t="shared" si="10"/>
        <v>215858.45000000298</v>
      </c>
      <c r="J36" s="165">
        <f t="shared" si="11"/>
        <v>7.7856782095423963E-3</v>
      </c>
      <c r="K36" s="119">
        <f>'C2C'!K179</f>
        <v>27725067</v>
      </c>
      <c r="Q36" s="62"/>
    </row>
    <row r="37" spans="1:17" ht="12.75" customHeight="1" x14ac:dyDescent="0.25">
      <c r="A37" s="89" t="s">
        <v>724</v>
      </c>
      <c r="B37" s="346"/>
      <c r="C37" s="119">
        <f>'C2C'!C186</f>
        <v>29075343.499999993</v>
      </c>
      <c r="D37" s="221">
        <f>'C2C'!D186</f>
        <v>37958403</v>
      </c>
      <c r="E37" s="41">
        <f>'C2C'!E186</f>
        <v>32407419</v>
      </c>
      <c r="F37" s="41">
        <f>'C2C'!F186</f>
        <v>5405673.2099999981</v>
      </c>
      <c r="G37" s="41">
        <f>'C2C'!G186</f>
        <v>25767752.829999994</v>
      </c>
      <c r="H37" s="41">
        <f>'C2C'!H186</f>
        <v>32407419</v>
      </c>
      <c r="I37" s="41">
        <f t="shared" si="10"/>
        <v>-6639666.1700000055</v>
      </c>
      <c r="J37" s="165">
        <f t="shared" si="11"/>
        <v>-0.20488105424254877</v>
      </c>
      <c r="K37" s="119">
        <f>'C2C'!K186</f>
        <v>32407419</v>
      </c>
      <c r="Q37" s="62"/>
    </row>
    <row r="38" spans="1:17" ht="12.75" customHeight="1" x14ac:dyDescent="0.25">
      <c r="A38" s="89" t="s">
        <v>621</v>
      </c>
      <c r="B38" s="346"/>
      <c r="C38" s="468">
        <f>'C2C'!C189</f>
        <v>96652.939999999988</v>
      </c>
      <c r="D38" s="477">
        <f>'C2C'!D189</f>
        <v>100684</v>
      </c>
      <c r="E38" s="478">
        <f>'C2C'!E189</f>
        <v>100684</v>
      </c>
      <c r="F38" s="478">
        <f>'C2C'!F189</f>
        <v>14879.149999999998</v>
      </c>
      <c r="G38" s="478">
        <f>'C2C'!G189</f>
        <v>89030.92</v>
      </c>
      <c r="H38" s="478">
        <f>'C2C'!H189</f>
        <v>100684</v>
      </c>
      <c r="I38" s="41">
        <f t="shared" si="10"/>
        <v>-11653.080000000002</v>
      </c>
      <c r="J38" s="165">
        <f t="shared" si="11"/>
        <v>-0.11573914425330739</v>
      </c>
      <c r="K38" s="479">
        <f>'C2C'!K189</f>
        <v>100684</v>
      </c>
      <c r="Q38" s="62"/>
    </row>
    <row r="39" spans="1:17" ht="12.75" customHeight="1" x14ac:dyDescent="0.25">
      <c r="A39" s="345" t="s">
        <v>116</v>
      </c>
      <c r="B39" s="346"/>
      <c r="C39" s="159">
        <f t="shared" ref="C39:H39" si="13">SUM(C40:C42)</f>
        <v>173798971.54000002</v>
      </c>
      <c r="D39" s="222">
        <f t="shared" si="13"/>
        <v>138813972</v>
      </c>
      <c r="E39" s="46">
        <f t="shared" si="13"/>
        <v>166969906</v>
      </c>
      <c r="F39" s="46">
        <f t="shared" si="13"/>
        <v>1533975.0800000052</v>
      </c>
      <c r="G39" s="46">
        <f t="shared" si="13"/>
        <v>162279975.67999998</v>
      </c>
      <c r="H39" s="46">
        <f t="shared" si="13"/>
        <v>166969906</v>
      </c>
      <c r="I39" s="41">
        <f t="shared" si="10"/>
        <v>-4689930.3200000226</v>
      </c>
      <c r="J39" s="165">
        <f t="shared" si="11"/>
        <v>-2.8088476734244687E-2</v>
      </c>
      <c r="K39" s="159">
        <f>SUM(K40:K42)</f>
        <v>166969906</v>
      </c>
      <c r="Q39" s="62"/>
    </row>
    <row r="40" spans="1:17" ht="12.75" customHeight="1" x14ac:dyDescent="0.25">
      <c r="A40" s="89" t="s">
        <v>117</v>
      </c>
      <c r="B40" s="346"/>
      <c r="C40" s="119">
        <f>'C2C'!C198</f>
        <v>14353484.240000002</v>
      </c>
      <c r="D40" s="221">
        <f>'C2C'!D198</f>
        <v>15669050</v>
      </c>
      <c r="E40" s="41">
        <f>'C2C'!E198</f>
        <v>14653250</v>
      </c>
      <c r="F40" s="41">
        <f>'C2C'!F198</f>
        <v>1723846.9</v>
      </c>
      <c r="G40" s="41">
        <f>'C2C'!G198</f>
        <v>15237873.890000001</v>
      </c>
      <c r="H40" s="41">
        <f>'C2C'!H198</f>
        <v>14653250</v>
      </c>
      <c r="I40" s="41">
        <f t="shared" si="10"/>
        <v>584623.8900000006</v>
      </c>
      <c r="J40" s="165">
        <f t="shared" si="11"/>
        <v>3.9897216658420526E-2</v>
      </c>
      <c r="K40" s="119">
        <f>'C2C'!K198</f>
        <v>14653250</v>
      </c>
      <c r="Q40" s="62"/>
    </row>
    <row r="41" spans="1:17" ht="12.75" customHeight="1" x14ac:dyDescent="0.25">
      <c r="A41" s="89" t="s">
        <v>118</v>
      </c>
      <c r="B41" s="346"/>
      <c r="C41" s="119">
        <f>'C2C'!C209</f>
        <v>156365941.55000001</v>
      </c>
      <c r="D41" s="221">
        <f>'C2C'!D209</f>
        <v>120378897</v>
      </c>
      <c r="E41" s="41">
        <f>'C2C'!E209</f>
        <v>149274005</v>
      </c>
      <c r="F41" s="41">
        <f>'C2C'!F209</f>
        <v>-246607.23999999464</v>
      </c>
      <c r="G41" s="41">
        <f>'C2C'!G209</f>
        <v>145479484.19999999</v>
      </c>
      <c r="H41" s="41">
        <f>'C2C'!H209</f>
        <v>149274005</v>
      </c>
      <c r="I41" s="41">
        <f t="shared" si="10"/>
        <v>-3794520.8000000119</v>
      </c>
      <c r="J41" s="165">
        <f t="shared" si="11"/>
        <v>-2.5419836494639584E-2</v>
      </c>
      <c r="K41" s="119">
        <f>'C2C'!K209</f>
        <v>149274005</v>
      </c>
      <c r="Q41" s="62"/>
    </row>
    <row r="42" spans="1:17" ht="12.75" customHeight="1" x14ac:dyDescent="0.25">
      <c r="A42" s="89" t="s">
        <v>119</v>
      </c>
      <c r="B42" s="346"/>
      <c r="C42" s="119">
        <f>'C2C'!C216</f>
        <v>3079545.7500000005</v>
      </c>
      <c r="D42" s="221">
        <f>'C2C'!D216</f>
        <v>2766025</v>
      </c>
      <c r="E42" s="41">
        <f>'C2C'!E216</f>
        <v>3042651</v>
      </c>
      <c r="F42" s="41">
        <f>'C2C'!F216</f>
        <v>56735.420000000006</v>
      </c>
      <c r="G42" s="41">
        <f>'C2C'!G216</f>
        <v>1562617.5899999999</v>
      </c>
      <c r="H42" s="41">
        <f>'C2C'!H216</f>
        <v>3042651</v>
      </c>
      <c r="I42" s="41">
        <f t="shared" si="10"/>
        <v>-1480033.4100000001</v>
      </c>
      <c r="J42" s="165">
        <f t="shared" si="11"/>
        <v>-0.48642891018391532</v>
      </c>
      <c r="K42" s="119">
        <f>'C2C'!K216</f>
        <v>3042651</v>
      </c>
      <c r="Q42" s="62"/>
    </row>
    <row r="43" spans="1:17" ht="12.75" customHeight="1" x14ac:dyDescent="0.25">
      <c r="A43" s="345" t="s">
        <v>120</v>
      </c>
      <c r="B43" s="346"/>
      <c r="C43" s="159">
        <f>SUM(C44:C47)</f>
        <v>494093514.42999995</v>
      </c>
      <c r="D43" s="222">
        <f t="shared" ref="D43:I43" si="14">SUM(D44:D47)</f>
        <v>528462579</v>
      </c>
      <c r="E43" s="46">
        <f t="shared" si="14"/>
        <v>528972963.00000006</v>
      </c>
      <c r="F43" s="46">
        <f t="shared" si="14"/>
        <v>47191449.590000004</v>
      </c>
      <c r="G43" s="46">
        <f t="shared" si="14"/>
        <v>450141181.50999993</v>
      </c>
      <c r="H43" s="46">
        <f t="shared" si="14"/>
        <v>528972963.00000006</v>
      </c>
      <c r="I43" s="41">
        <f t="shared" si="14"/>
        <v>-78831781.490000129</v>
      </c>
      <c r="J43" s="165">
        <f t="shared" si="11"/>
        <v>-0.1490279976559031</v>
      </c>
      <c r="K43" s="159">
        <f>SUM(K44:K47)</f>
        <v>528972963.00000006</v>
      </c>
      <c r="Q43" s="62"/>
    </row>
    <row r="44" spans="1:17" ht="12.75" customHeight="1" x14ac:dyDescent="0.25">
      <c r="A44" s="89" t="s">
        <v>1225</v>
      </c>
      <c r="B44" s="346"/>
      <c r="C44" s="119">
        <f>'C2C'!C224</f>
        <v>325776724.86000001</v>
      </c>
      <c r="D44" s="221">
        <f>'C2C'!D224</f>
        <v>360738437</v>
      </c>
      <c r="E44" s="41">
        <f>'C2C'!E224</f>
        <v>355381115.00000006</v>
      </c>
      <c r="F44" s="41">
        <f>'C2C'!F224</f>
        <v>31030458.190000009</v>
      </c>
      <c r="G44" s="41">
        <f>'C2C'!G224</f>
        <v>312247968.40999991</v>
      </c>
      <c r="H44" s="41">
        <f>'C2C'!H224</f>
        <v>355381115.00000006</v>
      </c>
      <c r="I44" s="41">
        <f t="shared" si="10"/>
        <v>-43133146.590000153</v>
      </c>
      <c r="J44" s="165">
        <f t="shared" si="11"/>
        <v>-0.12137152135954142</v>
      </c>
      <c r="K44" s="119">
        <f>'C2C'!K224</f>
        <v>355381115.00000006</v>
      </c>
      <c r="Q44" s="62"/>
    </row>
    <row r="45" spans="1:17" ht="12.75" customHeight="1" x14ac:dyDescent="0.25">
      <c r="A45" s="89" t="s">
        <v>1229</v>
      </c>
      <c r="B45" s="346"/>
      <c r="C45" s="119">
        <f>'C2C'!C228</f>
        <v>57694132.659999989</v>
      </c>
      <c r="D45" s="221">
        <f>'C2C'!D228</f>
        <v>59828203</v>
      </c>
      <c r="E45" s="41">
        <f>'C2C'!E228</f>
        <v>64054429</v>
      </c>
      <c r="F45" s="41">
        <f>'C2C'!F228</f>
        <v>6843170.8100000015</v>
      </c>
      <c r="G45" s="41">
        <f>'C2C'!G228</f>
        <v>52937709.579999998</v>
      </c>
      <c r="H45" s="41">
        <f>'C2C'!H228</f>
        <v>64054429</v>
      </c>
      <c r="I45" s="41">
        <f t="shared" si="10"/>
        <v>-11116719.420000002</v>
      </c>
      <c r="J45" s="165">
        <f t="shared" si="11"/>
        <v>-0.17355114382488682</v>
      </c>
      <c r="K45" s="119">
        <f>'C2C'!K228</f>
        <v>64054429</v>
      </c>
      <c r="Q45" s="62"/>
    </row>
    <row r="46" spans="1:17" ht="12.75" customHeight="1" x14ac:dyDescent="0.25">
      <c r="A46" s="89" t="s">
        <v>121</v>
      </c>
      <c r="B46" s="346"/>
      <c r="C46" s="468">
        <f>'C2C'!C232</f>
        <v>61246763.909999989</v>
      </c>
      <c r="D46" s="477">
        <f>'C2C'!D232</f>
        <v>61180431</v>
      </c>
      <c r="E46" s="478">
        <f>'C2C'!E232</f>
        <v>64328080</v>
      </c>
      <c r="F46" s="478">
        <f>'C2C'!F232</f>
        <v>6113645.8099999987</v>
      </c>
      <c r="G46" s="478">
        <f>'C2C'!G232</f>
        <v>53585565.450000033</v>
      </c>
      <c r="H46" s="478">
        <f>'C2C'!H232</f>
        <v>64328080</v>
      </c>
      <c r="I46" s="41">
        <f t="shared" si="10"/>
        <v>-10742514.549999967</v>
      </c>
      <c r="J46" s="165">
        <f t="shared" si="11"/>
        <v>-0.16699572799312473</v>
      </c>
      <c r="K46" s="479">
        <f>'C2C'!K232</f>
        <v>64328080</v>
      </c>
      <c r="Q46" s="62"/>
    </row>
    <row r="47" spans="1:17" ht="12.75" customHeight="1" x14ac:dyDescent="0.25">
      <c r="A47" s="89" t="s">
        <v>122</v>
      </c>
      <c r="B47" s="346"/>
      <c r="C47" s="119">
        <f>'C2C'!C237</f>
        <v>49375893.000000015</v>
      </c>
      <c r="D47" s="221">
        <f>'C2C'!D237</f>
        <v>46715508</v>
      </c>
      <c r="E47" s="41">
        <f>'C2C'!E237</f>
        <v>45209339</v>
      </c>
      <c r="F47" s="41">
        <f>'C2C'!F237</f>
        <v>3204174.78</v>
      </c>
      <c r="G47" s="41">
        <f>'C2C'!G237</f>
        <v>31369938.069999997</v>
      </c>
      <c r="H47" s="41">
        <f>'C2C'!H237</f>
        <v>45209339</v>
      </c>
      <c r="I47" s="41">
        <f t="shared" si="10"/>
        <v>-13839400.930000003</v>
      </c>
      <c r="J47" s="165">
        <f t="shared" si="11"/>
        <v>-0.30611818788149064</v>
      </c>
      <c r="K47" s="119">
        <f>'C2C'!K237</f>
        <v>45209339</v>
      </c>
      <c r="Q47" s="62"/>
    </row>
    <row r="48" spans="1:17" ht="12.75" customHeight="1" x14ac:dyDescent="0.25">
      <c r="A48" s="345" t="s">
        <v>731</v>
      </c>
      <c r="B48" s="346"/>
      <c r="C48" s="159">
        <f>'C2C'!C242</f>
        <v>1004662.4999999999</v>
      </c>
      <c r="D48" s="222">
        <f>'C2C'!D242</f>
        <v>910314</v>
      </c>
      <c r="E48" s="46">
        <f>'C2C'!E242</f>
        <v>880343</v>
      </c>
      <c r="F48" s="46">
        <f>'C2C'!F242</f>
        <v>54688.32</v>
      </c>
      <c r="G48" s="46">
        <f>'C2C'!G242</f>
        <v>1353636.8400000003</v>
      </c>
      <c r="H48" s="46">
        <f>'C2C'!H242</f>
        <v>880343</v>
      </c>
      <c r="I48" s="46">
        <f t="shared" si="10"/>
        <v>473293.84000000032</v>
      </c>
      <c r="J48" s="121">
        <f t="shared" si="11"/>
        <v>0.53762435777872974</v>
      </c>
      <c r="K48" s="159">
        <f>'C2C'!K242</f>
        <v>880343</v>
      </c>
      <c r="Q48" s="62"/>
    </row>
    <row r="49" spans="1:17" ht="12.75" customHeight="1" x14ac:dyDescent="0.25">
      <c r="A49" s="81" t="s">
        <v>1243</v>
      </c>
      <c r="B49" s="350">
        <v>3</v>
      </c>
      <c r="C49" s="464">
        <f>C29+C33+C39+C43+C48</f>
        <v>957098343.44000006</v>
      </c>
      <c r="D49" s="223">
        <f t="shared" ref="D49:I49" si="15">D29+D33+D39+D43+D48</f>
        <v>1011347518</v>
      </c>
      <c r="E49" s="65">
        <f t="shared" si="15"/>
        <v>1008968148</v>
      </c>
      <c r="F49" s="65">
        <f t="shared" si="15"/>
        <v>79874395.870000005</v>
      </c>
      <c r="G49" s="65">
        <f t="shared" si="15"/>
        <v>896520297.20999992</v>
      </c>
      <c r="H49" s="65">
        <f t="shared" si="15"/>
        <v>1008968148</v>
      </c>
      <c r="I49" s="65">
        <f t="shared" si="15"/>
        <v>-112447850.79000014</v>
      </c>
      <c r="J49" s="280">
        <f t="shared" si="11"/>
        <v>-0.11144836535513719</v>
      </c>
      <c r="K49" s="504">
        <f>K29+K33+K39+K43+K48</f>
        <v>1008968148</v>
      </c>
      <c r="Q49" s="67"/>
    </row>
    <row r="50" spans="1:17" ht="12.75" customHeight="1" x14ac:dyDescent="0.25">
      <c r="A50" s="83" t="s">
        <v>907</v>
      </c>
      <c r="B50" s="355"/>
      <c r="C50" s="94">
        <f t="shared" ref="C50:H50" si="16">C26-C49</f>
        <v>102424353.26999998</v>
      </c>
      <c r="D50" s="227">
        <f t="shared" si="16"/>
        <v>123871529</v>
      </c>
      <c r="E50" s="68">
        <f t="shared" si="16"/>
        <v>168468297</v>
      </c>
      <c r="F50" s="68">
        <f t="shared" si="16"/>
        <v>1301911.7699999958</v>
      </c>
      <c r="G50" s="68">
        <f t="shared" si="16"/>
        <v>66014432.279999971</v>
      </c>
      <c r="H50" s="68">
        <f t="shared" si="16"/>
        <v>168468297</v>
      </c>
      <c r="I50" s="68">
        <f>I26-I49</f>
        <v>-102453864.71999994</v>
      </c>
      <c r="J50" s="282">
        <f>IF(I50=0,"",I50/H50)</f>
        <v>-0.608149227744612</v>
      </c>
      <c r="K50" s="197">
        <f>K26-K49</f>
        <v>168468297</v>
      </c>
    </row>
    <row r="51" spans="1:17" ht="11.25" customHeight="1" x14ac:dyDescent="0.25">
      <c r="A51" s="687" t="str">
        <f>head27a</f>
        <v>References</v>
      </c>
      <c r="B51" s="58"/>
      <c r="C51" s="71"/>
      <c r="D51" s="71"/>
      <c r="E51" s="71"/>
      <c r="F51" s="71"/>
      <c r="G51" s="71"/>
      <c r="H51" s="71"/>
      <c r="I51" s="71"/>
      <c r="J51" s="71"/>
      <c r="K51" s="688"/>
    </row>
    <row r="52" spans="1:17" ht="11.25" customHeight="1" x14ac:dyDescent="0.25">
      <c r="A52" s="78" t="s">
        <v>142</v>
      </c>
      <c r="B52" s="58"/>
      <c r="C52" s="71"/>
      <c r="D52" s="71"/>
      <c r="E52" s="71"/>
      <c r="F52" s="71"/>
      <c r="G52" s="71"/>
      <c r="H52" s="71"/>
      <c r="I52" s="71"/>
      <c r="J52" s="71"/>
      <c r="K52" s="688"/>
    </row>
    <row r="53" spans="1:17" ht="11.25" customHeight="1" x14ac:dyDescent="0.25">
      <c r="A53" s="684" t="s">
        <v>1244</v>
      </c>
      <c r="B53" s="58"/>
      <c r="C53" s="71"/>
      <c r="D53" s="71"/>
      <c r="E53" s="71"/>
      <c r="F53" s="71"/>
      <c r="G53" s="71"/>
      <c r="H53" s="71"/>
      <c r="I53" s="71"/>
      <c r="J53" s="71"/>
      <c r="K53" s="688"/>
    </row>
    <row r="54" spans="1:17" ht="11.25" customHeight="1" x14ac:dyDescent="0.25">
      <c r="A54" s="78" t="s">
        <v>1245</v>
      </c>
      <c r="B54" s="58"/>
      <c r="C54" s="71"/>
      <c r="D54" s="71"/>
      <c r="E54" s="71"/>
      <c r="F54" s="71"/>
      <c r="G54" s="71"/>
      <c r="H54" s="71"/>
      <c r="I54" s="71"/>
      <c r="J54" s="71"/>
      <c r="K54" s="688"/>
    </row>
    <row r="55" spans="1:17" ht="27.75" customHeight="1" x14ac:dyDescent="0.25">
      <c r="A55" s="985" t="s">
        <v>1246</v>
      </c>
      <c r="B55" s="956"/>
      <c r="C55" s="956"/>
      <c r="D55" s="956"/>
      <c r="E55" s="956"/>
      <c r="F55" s="956"/>
      <c r="G55" s="956"/>
      <c r="H55" s="956"/>
      <c r="I55" s="956"/>
      <c r="J55" s="956"/>
      <c r="K55" s="986"/>
    </row>
    <row r="56" spans="1:17" ht="11.25" customHeight="1" x14ac:dyDescent="0.25">
      <c r="A56" s="73" t="s">
        <v>182</v>
      </c>
      <c r="B56" s="58"/>
      <c r="C56" s="467">
        <f>C26-'C4-FinPerf RE'!C53</f>
        <v>0</v>
      </c>
      <c r="D56" s="467">
        <f>D26-'C4-FinPerf RE'!D53</f>
        <v>0</v>
      </c>
      <c r="E56" s="467">
        <f>E26-'C4-FinPerf RE'!E53</f>
        <v>0</v>
      </c>
      <c r="F56" s="467">
        <f>F26-'C4-FinPerf RE'!F53</f>
        <v>0</v>
      </c>
      <c r="G56" s="467">
        <f>G26-'C4-FinPerf RE'!G53</f>
        <v>0</v>
      </c>
      <c r="H56" s="467">
        <f>H26-'C4-FinPerf RE'!H53</f>
        <v>0</v>
      </c>
      <c r="I56" s="467">
        <f>I26-'C4-FinPerf RE'!I53</f>
        <v>0</v>
      </c>
      <c r="J56" s="467"/>
      <c r="K56" s="689">
        <f>K26-'C4-FinPerf RE'!K53</f>
        <v>0</v>
      </c>
    </row>
    <row r="57" spans="1:17" ht="11.25" customHeight="1" x14ac:dyDescent="0.25">
      <c r="A57" s="73" t="s">
        <v>183</v>
      </c>
      <c r="B57" s="58"/>
      <c r="C57" s="467">
        <f>C49-'C4-FinPerf RE'!C36</f>
        <v>0</v>
      </c>
      <c r="D57" s="467">
        <f>D49-'C4-FinPerf RE'!D36</f>
        <v>0</v>
      </c>
      <c r="E57" s="467">
        <f>E49-'C4-FinPerf RE'!E36</f>
        <v>0</v>
      </c>
      <c r="F57" s="467">
        <f>F49-'C4-FinPerf RE'!F36</f>
        <v>0</v>
      </c>
      <c r="G57" s="467">
        <f>G49-'C4-FinPerf RE'!G36</f>
        <v>0</v>
      </c>
      <c r="H57" s="467">
        <f>H49-'C4-FinPerf RE'!H36</f>
        <v>0</v>
      </c>
      <c r="I57" s="467">
        <f>I49-'C4-FinPerf RE'!I36</f>
        <v>-1.7881393432617188E-7</v>
      </c>
      <c r="J57" s="467"/>
      <c r="K57" s="689">
        <f>K49-'C4-FinPerf RE'!K36</f>
        <v>0</v>
      </c>
    </row>
    <row r="58" spans="1:17" ht="11.25" customHeight="1" x14ac:dyDescent="0.25">
      <c r="A58" s="690"/>
      <c r="B58" s="691"/>
      <c r="C58" s="691"/>
      <c r="D58" s="691"/>
      <c r="E58" s="691"/>
      <c r="F58" s="691"/>
      <c r="G58" s="691"/>
      <c r="H58" s="691"/>
      <c r="I58" s="691"/>
      <c r="J58" s="691"/>
      <c r="K58" s="692"/>
    </row>
  </sheetData>
  <sheetProtection password="C646" sheet="1" objects="1" scenarios="1"/>
  <mergeCells count="4">
    <mergeCell ref="B2:B3"/>
    <mergeCell ref="A2:A3"/>
    <mergeCell ref="A1:K1"/>
    <mergeCell ref="A55:K55"/>
  </mergeCells>
  <phoneticPr fontId="3" type="noConversion"/>
  <printOptions horizontalCentered="1"/>
  <pageMargins left="0.19685039370078741" right="0.19685039370078741" top="0.59055118110236227" bottom="0.59055118110236227" header="0.51181102362204722" footer="0.51181102362204722"/>
  <pageSetup paperSize="9" scale="92" orientation="portrait" r:id="rId1"/>
  <headerFooter alignWithMargins="0"/>
  <ignoredErrors>
    <ignoredError sqref="I20:J26 I43:J50"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indexed="44"/>
    <pageSetUpPr fitToPage="1"/>
  </sheetPr>
  <dimension ref="A1:L259"/>
  <sheetViews>
    <sheetView showGridLines="0" view="pageBreakPreview" zoomScaleNormal="100" zoomScaleSheetLayoutView="100" workbookViewId="0">
      <pane xSplit="2" ySplit="4" topLeftCell="C239" activePane="bottomRight" state="frozen"/>
      <selection pane="topRight"/>
      <selection pane="bottomLeft"/>
      <selection pane="bottomRight" activeCell="G251" sqref="G251"/>
    </sheetView>
  </sheetViews>
  <sheetFormatPr defaultColWidth="9.140625" defaultRowHeight="13.5" x14ac:dyDescent="0.25"/>
  <cols>
    <col min="1" max="1" width="38.85546875" style="22" customWidth="1"/>
    <col min="2" max="2" width="3" style="54" customWidth="1"/>
    <col min="3" max="9" width="9.28515625" style="150" customWidth="1"/>
    <col min="10" max="10" width="9.28515625" style="493" customWidth="1"/>
    <col min="11" max="11" width="9.28515625" style="150" customWidth="1"/>
    <col min="12" max="12" width="2.140625" style="22" hidden="1" customWidth="1"/>
    <col min="13" max="16384" width="9.140625" style="488"/>
  </cols>
  <sheetData>
    <row r="1" spans="1:12" x14ac:dyDescent="0.25">
      <c r="A1" s="982" t="str">
        <f>muni&amp; " - "&amp;S71A&amp; " - "&amp;date</f>
        <v>WC025 Breede Valley - Table C2 Monthly Budget Statement - Financial Performance (functional classification) - Q4 Fourth Quarter</v>
      </c>
      <c r="B1" s="983"/>
      <c r="C1" s="983"/>
      <c r="D1" s="983"/>
      <c r="E1" s="983"/>
      <c r="F1" s="983"/>
      <c r="G1" s="983"/>
      <c r="H1" s="983"/>
      <c r="I1" s="983"/>
      <c r="J1" s="983"/>
      <c r="K1" s="984"/>
      <c r="L1" s="22">
        <v>12</v>
      </c>
    </row>
    <row r="2" spans="1:12" ht="13.5" customHeight="1" x14ac:dyDescent="0.25">
      <c r="A2" s="980" t="str">
        <f>desc</f>
        <v>Description</v>
      </c>
      <c r="B2" s="978" t="str">
        <f>head27</f>
        <v>Ref</v>
      </c>
      <c r="C2" s="654" t="str">
        <f>Head1</f>
        <v>2017/18</v>
      </c>
      <c r="D2" s="975" t="str">
        <f>Head2</f>
        <v>Budget Year 2018/19</v>
      </c>
      <c r="E2" s="976"/>
      <c r="F2" s="976"/>
      <c r="G2" s="976"/>
      <c r="H2" s="976"/>
      <c r="I2" s="976"/>
      <c r="J2" s="976"/>
      <c r="K2" s="977"/>
    </row>
    <row r="3" spans="1:12" ht="25.5" x14ac:dyDescent="0.25">
      <c r="A3" s="981"/>
      <c r="B3" s="979"/>
      <c r="C3" s="26" t="str">
        <f>Head5</f>
        <v>Audited Outcome</v>
      </c>
      <c r="D3" s="124" t="str">
        <f>Head6</f>
        <v>Original Budget</v>
      </c>
      <c r="E3" s="24" t="str">
        <f>Head7</f>
        <v>Adjusted Budget</v>
      </c>
      <c r="F3" s="24" t="str">
        <f>Head38</f>
        <v>Monthly actual</v>
      </c>
      <c r="G3" s="24" t="str">
        <f>Head39</f>
        <v>YearTD actual</v>
      </c>
      <c r="H3" s="24" t="str">
        <f>Head40</f>
        <v>YearTD budget</v>
      </c>
      <c r="I3" s="24" t="str">
        <f>Head41</f>
        <v>YTD variance</v>
      </c>
      <c r="J3" s="191" t="str">
        <f>Head41</f>
        <v>YTD variance</v>
      </c>
      <c r="K3" s="155" t="str">
        <f>Head8</f>
        <v>Full Year Forecast</v>
      </c>
    </row>
    <row r="4" spans="1:12" x14ac:dyDescent="0.25">
      <c r="A4" s="31" t="s">
        <v>678</v>
      </c>
      <c r="B4" s="353">
        <v>1</v>
      </c>
      <c r="C4" s="804"/>
      <c r="D4" s="714"/>
      <c r="E4" s="353"/>
      <c r="F4" s="74"/>
      <c r="G4" s="74"/>
      <c r="H4" s="74"/>
      <c r="I4" s="74"/>
      <c r="J4" s="205" t="s">
        <v>586</v>
      </c>
      <c r="K4" s="187"/>
    </row>
    <row r="5" spans="1:12" x14ac:dyDescent="0.25">
      <c r="A5" s="32" t="s">
        <v>1170</v>
      </c>
      <c r="B5" s="346"/>
      <c r="C5" s="805"/>
      <c r="D5" s="809"/>
      <c r="E5" s="779"/>
      <c r="F5" s="779"/>
      <c r="G5" s="779"/>
      <c r="H5" s="779"/>
      <c r="I5" s="779"/>
      <c r="J5" s="795"/>
      <c r="K5" s="780"/>
    </row>
    <row r="6" spans="1:12" x14ac:dyDescent="0.25">
      <c r="A6" s="345" t="s">
        <v>163</v>
      </c>
      <c r="B6" s="346"/>
      <c r="C6" s="806">
        <f>C7+C10+C25</f>
        <v>186088895.37</v>
      </c>
      <c r="D6" s="810">
        <f t="shared" ref="D6:K6" si="0">D7+D10+D25</f>
        <v>202676542</v>
      </c>
      <c r="E6" s="781">
        <f t="shared" si="0"/>
        <v>194123302</v>
      </c>
      <c r="F6" s="781">
        <f t="shared" si="0"/>
        <v>11430294.42</v>
      </c>
      <c r="G6" s="781">
        <f t="shared" si="0"/>
        <v>194950653.90000004</v>
      </c>
      <c r="H6" s="781">
        <f t="shared" si="0"/>
        <v>194123302</v>
      </c>
      <c r="I6" s="781">
        <f>G6-H6</f>
        <v>827351.90000003576</v>
      </c>
      <c r="J6" s="796">
        <f>IF(I6=0,"",I6/H6)</f>
        <v>4.2619916902095333E-3</v>
      </c>
      <c r="K6" s="782">
        <f t="shared" si="0"/>
        <v>194123302</v>
      </c>
    </row>
    <row r="7" spans="1:12" x14ac:dyDescent="0.25">
      <c r="A7" s="465" t="s">
        <v>111</v>
      </c>
      <c r="B7" s="346"/>
      <c r="C7" s="733">
        <f>SUM(C8:C9)</f>
        <v>1269661.8600000001</v>
      </c>
      <c r="D7" s="734">
        <f t="shared" ref="D7:K7" si="1">SUM(D8:D9)</f>
        <v>138800</v>
      </c>
      <c r="E7" s="735">
        <f t="shared" si="1"/>
        <v>1148790</v>
      </c>
      <c r="F7" s="735">
        <f t="shared" si="1"/>
        <v>42027.08</v>
      </c>
      <c r="G7" s="735">
        <f t="shared" si="1"/>
        <v>427098.49</v>
      </c>
      <c r="H7" s="735">
        <f t="shared" si="1"/>
        <v>1148790</v>
      </c>
      <c r="I7" s="735">
        <f>G7-H7</f>
        <v>-721691.51</v>
      </c>
      <c r="J7" s="797">
        <f>IF(I7=0,"",I7/H7)</f>
        <v>-0.62821883024747782</v>
      </c>
      <c r="K7" s="749">
        <f t="shared" si="1"/>
        <v>1148790</v>
      </c>
    </row>
    <row r="8" spans="1:12" x14ac:dyDescent="0.25">
      <c r="A8" s="492" t="s">
        <v>164</v>
      </c>
      <c r="B8" s="346"/>
      <c r="C8" s="726">
        <v>419661.86000000004</v>
      </c>
      <c r="D8" s="727">
        <v>138800</v>
      </c>
      <c r="E8" s="728">
        <v>138790</v>
      </c>
      <c r="F8" s="728">
        <v>42027.08</v>
      </c>
      <c r="G8" s="728">
        <v>427098.49</v>
      </c>
      <c r="H8" s="728">
        <f>E8/12*$L$1</f>
        <v>138790</v>
      </c>
      <c r="I8" s="730">
        <f>G8-H8</f>
        <v>288308.49</v>
      </c>
      <c r="J8" s="798">
        <f>IF(I8=0,"",I8/H8)</f>
        <v>2.077300165717991</v>
      </c>
      <c r="K8" s="783">
        <f>E8</f>
        <v>138790</v>
      </c>
    </row>
    <row r="9" spans="1:12" ht="22.5" x14ac:dyDescent="0.25">
      <c r="A9" s="492" t="s">
        <v>1155</v>
      </c>
      <c r="B9" s="346"/>
      <c r="C9" s="726">
        <v>850000</v>
      </c>
      <c r="D9" s="727">
        <v>0</v>
      </c>
      <c r="E9" s="728">
        <v>1010000</v>
      </c>
      <c r="F9" s="728">
        <v>0</v>
      </c>
      <c r="G9" s="728">
        <v>0</v>
      </c>
      <c r="H9" s="728">
        <f>E9/12*$L$1</f>
        <v>1010000</v>
      </c>
      <c r="I9" s="730">
        <f>G9-H9</f>
        <v>-1010000</v>
      </c>
      <c r="J9" s="798">
        <f>IF(I9=0,"",I9/H9)</f>
        <v>-1</v>
      </c>
      <c r="K9" s="783">
        <f>E9</f>
        <v>1010000</v>
      </c>
    </row>
    <row r="10" spans="1:12" x14ac:dyDescent="0.25">
      <c r="A10" s="465" t="s">
        <v>1156</v>
      </c>
      <c r="B10" s="346"/>
      <c r="C10" s="733">
        <f t="shared" ref="C10:H10" si="2">SUM(C11:C24)</f>
        <v>184645180.66</v>
      </c>
      <c r="D10" s="734">
        <f t="shared" si="2"/>
        <v>202537742</v>
      </c>
      <c r="E10" s="735">
        <f t="shared" si="2"/>
        <v>192930358</v>
      </c>
      <c r="F10" s="735">
        <f t="shared" si="2"/>
        <v>11388267.34</v>
      </c>
      <c r="G10" s="735">
        <f t="shared" si="2"/>
        <v>194523555.41000003</v>
      </c>
      <c r="H10" s="735">
        <f t="shared" si="2"/>
        <v>192930358</v>
      </c>
      <c r="I10" s="735">
        <f>G10-H10</f>
        <v>1593197.4100000262</v>
      </c>
      <c r="J10" s="797">
        <f>IF(I10=0,"",I10/H10)</f>
        <v>8.2578886315031151E-3</v>
      </c>
      <c r="K10" s="749">
        <f>SUM(K11:K24)</f>
        <v>192930358</v>
      </c>
    </row>
    <row r="11" spans="1:12" x14ac:dyDescent="0.25">
      <c r="A11" s="492" t="s">
        <v>1157</v>
      </c>
      <c r="B11" s="346"/>
      <c r="C11" s="726">
        <v>43846013.449999996</v>
      </c>
      <c r="D11" s="727">
        <v>37387120</v>
      </c>
      <c r="E11" s="728">
        <v>38551158</v>
      </c>
      <c r="F11" s="728">
        <v>1972720.6600000001</v>
      </c>
      <c r="G11" s="728">
        <v>39025558.24000001</v>
      </c>
      <c r="H11" s="728">
        <f t="shared" ref="H11:H24" si="3">E11/12*$L$1</f>
        <v>38551158</v>
      </c>
      <c r="I11" s="730">
        <f t="shared" ref="I11:I24" si="4">G11-H11</f>
        <v>474400.24000000954</v>
      </c>
      <c r="J11" s="798">
        <f t="shared" ref="J11:J24" si="5">IF(I11=0,"",I11/H11)</f>
        <v>1.2305732554130009E-2</v>
      </c>
      <c r="K11" s="783">
        <f t="shared" ref="K11:K24" si="6">E11</f>
        <v>38551158</v>
      </c>
    </row>
    <row r="12" spans="1:12" x14ac:dyDescent="0.25">
      <c r="A12" s="492" t="s">
        <v>1158</v>
      </c>
      <c r="B12" s="346"/>
      <c r="C12" s="726">
        <v>0</v>
      </c>
      <c r="D12" s="727">
        <v>0</v>
      </c>
      <c r="E12" s="728">
        <v>0</v>
      </c>
      <c r="F12" s="728">
        <v>0</v>
      </c>
      <c r="G12" s="728">
        <v>0</v>
      </c>
      <c r="H12" s="728">
        <f t="shared" si="3"/>
        <v>0</v>
      </c>
      <c r="I12" s="730">
        <f t="shared" si="4"/>
        <v>0</v>
      </c>
      <c r="J12" s="798" t="str">
        <f t="shared" si="5"/>
        <v/>
      </c>
      <c r="K12" s="783">
        <f t="shared" si="6"/>
        <v>0</v>
      </c>
    </row>
    <row r="13" spans="1:12" x14ac:dyDescent="0.25">
      <c r="A13" s="492" t="s">
        <v>1159</v>
      </c>
      <c r="B13" s="346"/>
      <c r="C13" s="726">
        <v>0</v>
      </c>
      <c r="D13" s="727">
        <v>0</v>
      </c>
      <c r="E13" s="728">
        <v>0</v>
      </c>
      <c r="F13" s="728">
        <v>0</v>
      </c>
      <c r="G13" s="728">
        <v>0</v>
      </c>
      <c r="H13" s="728">
        <f t="shared" si="3"/>
        <v>0</v>
      </c>
      <c r="I13" s="730">
        <f t="shared" si="4"/>
        <v>0</v>
      </c>
      <c r="J13" s="798" t="str">
        <f t="shared" si="5"/>
        <v/>
      </c>
      <c r="K13" s="783">
        <f t="shared" si="6"/>
        <v>0</v>
      </c>
    </row>
    <row r="14" spans="1:12" x14ac:dyDescent="0.25">
      <c r="A14" s="492" t="s">
        <v>1160</v>
      </c>
      <c r="B14" s="346"/>
      <c r="C14" s="726">
        <v>2733806.8699999996</v>
      </c>
      <c r="D14" s="727">
        <v>3752700</v>
      </c>
      <c r="E14" s="728">
        <v>3068100</v>
      </c>
      <c r="F14" s="728">
        <v>667558.31000000006</v>
      </c>
      <c r="G14" s="728">
        <v>4716945.82</v>
      </c>
      <c r="H14" s="728">
        <f t="shared" si="3"/>
        <v>3068100</v>
      </c>
      <c r="I14" s="730">
        <f t="shared" si="4"/>
        <v>1648845.8200000003</v>
      </c>
      <c r="J14" s="798">
        <f t="shared" si="5"/>
        <v>0.53741593168410429</v>
      </c>
      <c r="K14" s="783">
        <f t="shared" si="6"/>
        <v>3068100</v>
      </c>
    </row>
    <row r="15" spans="1:12" x14ac:dyDescent="0.25">
      <c r="A15" s="492" t="s">
        <v>1161</v>
      </c>
      <c r="B15" s="346"/>
      <c r="C15" s="726">
        <v>147645.9</v>
      </c>
      <c r="D15" s="727">
        <v>1189900</v>
      </c>
      <c r="E15" s="728">
        <v>1689900</v>
      </c>
      <c r="F15" s="728">
        <v>0</v>
      </c>
      <c r="G15" s="728">
        <v>937112.82</v>
      </c>
      <c r="H15" s="728">
        <f t="shared" si="3"/>
        <v>1689900</v>
      </c>
      <c r="I15" s="730">
        <f t="shared" si="4"/>
        <v>-752787.18</v>
      </c>
      <c r="J15" s="798">
        <f t="shared" si="5"/>
        <v>-0.44546255991478789</v>
      </c>
      <c r="K15" s="783">
        <f t="shared" si="6"/>
        <v>1689900</v>
      </c>
    </row>
    <row r="16" spans="1:12" x14ac:dyDescent="0.25">
      <c r="A16" s="492" t="s">
        <v>165</v>
      </c>
      <c r="B16" s="346"/>
      <c r="C16" s="726">
        <v>383787.66</v>
      </c>
      <c r="D16" s="727">
        <v>1248900</v>
      </c>
      <c r="E16" s="728">
        <v>1347680</v>
      </c>
      <c r="F16" s="728">
        <v>0</v>
      </c>
      <c r="G16" s="728">
        <v>4500</v>
      </c>
      <c r="H16" s="728">
        <f t="shared" si="3"/>
        <v>1347680</v>
      </c>
      <c r="I16" s="730">
        <f t="shared" si="4"/>
        <v>-1343180</v>
      </c>
      <c r="J16" s="798">
        <f t="shared" si="5"/>
        <v>-0.99666092841030507</v>
      </c>
      <c r="K16" s="783">
        <f t="shared" si="6"/>
        <v>1347680</v>
      </c>
    </row>
    <row r="17" spans="1:11" x14ac:dyDescent="0.25">
      <c r="A17" s="492" t="s">
        <v>166</v>
      </c>
      <c r="B17" s="346"/>
      <c r="C17" s="726">
        <v>-12549.42</v>
      </c>
      <c r="D17" s="727">
        <v>2500</v>
      </c>
      <c r="E17" s="728">
        <v>2480</v>
      </c>
      <c r="F17" s="728">
        <v>500.88</v>
      </c>
      <c r="G17" s="728">
        <v>4510.79</v>
      </c>
      <c r="H17" s="728">
        <f t="shared" si="3"/>
        <v>2480</v>
      </c>
      <c r="I17" s="730">
        <f t="shared" si="4"/>
        <v>2030.79</v>
      </c>
      <c r="J17" s="798">
        <f t="shared" si="5"/>
        <v>0.81886693548387091</v>
      </c>
      <c r="K17" s="783">
        <f t="shared" si="6"/>
        <v>2480</v>
      </c>
    </row>
    <row r="18" spans="1:11" x14ac:dyDescent="0.25">
      <c r="A18" s="492" t="s">
        <v>1162</v>
      </c>
      <c r="B18" s="346"/>
      <c r="C18" s="726">
        <v>631.58000000000004</v>
      </c>
      <c r="D18" s="727">
        <v>0</v>
      </c>
      <c r="E18" s="728">
        <v>-20</v>
      </c>
      <c r="F18" s="728">
        <v>8160.87</v>
      </c>
      <c r="G18" s="728">
        <v>17399.150000000001</v>
      </c>
      <c r="H18" s="728">
        <f t="shared" si="3"/>
        <v>-20</v>
      </c>
      <c r="I18" s="730">
        <f t="shared" si="4"/>
        <v>17419.150000000001</v>
      </c>
      <c r="J18" s="798">
        <f t="shared" si="5"/>
        <v>-870.9575000000001</v>
      </c>
      <c r="K18" s="783">
        <f t="shared" si="6"/>
        <v>-20</v>
      </c>
    </row>
    <row r="19" spans="1:11" ht="22.5" x14ac:dyDescent="0.25">
      <c r="A19" s="492" t="s">
        <v>1163</v>
      </c>
      <c r="B19" s="346"/>
      <c r="C19" s="726">
        <v>324240</v>
      </c>
      <c r="D19" s="727">
        <v>474000</v>
      </c>
      <c r="E19" s="728">
        <v>474000</v>
      </c>
      <c r="F19" s="728">
        <v>0</v>
      </c>
      <c r="G19" s="728">
        <v>474000</v>
      </c>
      <c r="H19" s="728">
        <f t="shared" si="3"/>
        <v>474000</v>
      </c>
      <c r="I19" s="730">
        <f t="shared" si="4"/>
        <v>0</v>
      </c>
      <c r="J19" s="798" t="str">
        <f t="shared" si="5"/>
        <v/>
      </c>
      <c r="K19" s="783">
        <f t="shared" si="6"/>
        <v>474000</v>
      </c>
    </row>
    <row r="20" spans="1:11" x14ac:dyDescent="0.25">
      <c r="A20" s="492" t="s">
        <v>167</v>
      </c>
      <c r="B20" s="346"/>
      <c r="C20" s="726">
        <v>0</v>
      </c>
      <c r="D20" s="727">
        <v>0</v>
      </c>
      <c r="E20" s="728">
        <v>0</v>
      </c>
      <c r="F20" s="728">
        <v>0</v>
      </c>
      <c r="G20" s="728">
        <v>0</v>
      </c>
      <c r="H20" s="728">
        <f t="shared" si="3"/>
        <v>0</v>
      </c>
      <c r="I20" s="730">
        <f t="shared" si="4"/>
        <v>0</v>
      </c>
      <c r="J20" s="798" t="str">
        <f t="shared" si="5"/>
        <v/>
      </c>
      <c r="K20" s="783">
        <f t="shared" si="6"/>
        <v>0</v>
      </c>
    </row>
    <row r="21" spans="1:11" x14ac:dyDescent="0.25">
      <c r="A21" s="492" t="s">
        <v>1164</v>
      </c>
      <c r="B21" s="346"/>
      <c r="C21" s="726">
        <v>0</v>
      </c>
      <c r="D21" s="727">
        <v>0</v>
      </c>
      <c r="E21" s="728">
        <v>0</v>
      </c>
      <c r="F21" s="728">
        <v>0</v>
      </c>
      <c r="G21" s="728">
        <v>0</v>
      </c>
      <c r="H21" s="728">
        <f t="shared" si="3"/>
        <v>0</v>
      </c>
      <c r="I21" s="730">
        <f t="shared" si="4"/>
        <v>0</v>
      </c>
      <c r="J21" s="798" t="str">
        <f t="shared" si="5"/>
        <v/>
      </c>
      <c r="K21" s="783">
        <f t="shared" si="6"/>
        <v>0</v>
      </c>
    </row>
    <row r="22" spans="1:11" x14ac:dyDescent="0.25">
      <c r="A22" s="492" t="s">
        <v>1165</v>
      </c>
      <c r="B22" s="346"/>
      <c r="C22" s="726">
        <v>0</v>
      </c>
      <c r="D22" s="727">
        <v>0</v>
      </c>
      <c r="E22" s="728">
        <v>0</v>
      </c>
      <c r="F22" s="728">
        <v>0</v>
      </c>
      <c r="G22" s="728">
        <v>0</v>
      </c>
      <c r="H22" s="728">
        <f t="shared" si="3"/>
        <v>0</v>
      </c>
      <c r="I22" s="730">
        <f t="shared" si="4"/>
        <v>0</v>
      </c>
      <c r="J22" s="798" t="str">
        <f t="shared" si="5"/>
        <v/>
      </c>
      <c r="K22" s="783">
        <f t="shared" si="6"/>
        <v>0</v>
      </c>
    </row>
    <row r="23" spans="1:11" x14ac:dyDescent="0.25">
      <c r="A23" s="492" t="s">
        <v>1166</v>
      </c>
      <c r="B23" s="346"/>
      <c r="C23" s="726">
        <v>-15.87</v>
      </c>
      <c r="D23" s="727">
        <v>142800</v>
      </c>
      <c r="E23" s="728">
        <v>142800</v>
      </c>
      <c r="F23" s="728">
        <v>0</v>
      </c>
      <c r="G23" s="728">
        <v>0</v>
      </c>
      <c r="H23" s="728">
        <f t="shared" si="3"/>
        <v>142800</v>
      </c>
      <c r="I23" s="730">
        <f t="shared" si="4"/>
        <v>-142800</v>
      </c>
      <c r="J23" s="798">
        <f t="shared" si="5"/>
        <v>-1</v>
      </c>
      <c r="K23" s="783">
        <f t="shared" si="6"/>
        <v>142800</v>
      </c>
    </row>
    <row r="24" spans="1:11" x14ac:dyDescent="0.25">
      <c r="A24" s="492" t="s">
        <v>1167</v>
      </c>
      <c r="B24" s="346"/>
      <c r="C24" s="726">
        <v>137221620.49000001</v>
      </c>
      <c r="D24" s="727">
        <v>158339822</v>
      </c>
      <c r="E24" s="728">
        <v>147654260</v>
      </c>
      <c r="F24" s="728">
        <v>8739326.6199999992</v>
      </c>
      <c r="G24" s="728">
        <v>149343528.59</v>
      </c>
      <c r="H24" s="728">
        <f t="shared" si="3"/>
        <v>147654260</v>
      </c>
      <c r="I24" s="730">
        <f t="shared" si="4"/>
        <v>1689268.5900000036</v>
      </c>
      <c r="J24" s="798">
        <f t="shared" si="5"/>
        <v>1.1440703370156768E-2</v>
      </c>
      <c r="K24" s="783">
        <f t="shared" si="6"/>
        <v>147654260</v>
      </c>
    </row>
    <row r="25" spans="1:11" x14ac:dyDescent="0.25">
      <c r="A25" s="465" t="s">
        <v>1168</v>
      </c>
      <c r="B25" s="346"/>
      <c r="C25" s="733">
        <f t="shared" ref="C25:H25" si="7">SUM(C26:C26)</f>
        <v>174052.85</v>
      </c>
      <c r="D25" s="734">
        <f t="shared" si="7"/>
        <v>0</v>
      </c>
      <c r="E25" s="735">
        <f t="shared" si="7"/>
        <v>44154</v>
      </c>
      <c r="F25" s="735">
        <f t="shared" si="7"/>
        <v>0</v>
      </c>
      <c r="G25" s="735">
        <f t="shared" si="7"/>
        <v>0</v>
      </c>
      <c r="H25" s="735">
        <f t="shared" si="7"/>
        <v>44154</v>
      </c>
      <c r="I25" s="735">
        <f>G25-H25</f>
        <v>-44154</v>
      </c>
      <c r="J25" s="797">
        <f>IF(I25=0,"",I25/H25)</f>
        <v>-1</v>
      </c>
      <c r="K25" s="749">
        <f>SUM(K26:K26)</f>
        <v>44154</v>
      </c>
    </row>
    <row r="26" spans="1:11" x14ac:dyDescent="0.25">
      <c r="A26" s="492" t="s">
        <v>1169</v>
      </c>
      <c r="B26" s="346"/>
      <c r="C26" s="726">
        <v>174052.85</v>
      </c>
      <c r="D26" s="727">
        <v>0</v>
      </c>
      <c r="E26" s="728">
        <v>44154</v>
      </c>
      <c r="F26" s="728">
        <v>0</v>
      </c>
      <c r="G26" s="728">
        <v>0</v>
      </c>
      <c r="H26" s="728">
        <f>E26/12*$L$1</f>
        <v>44154</v>
      </c>
      <c r="I26" s="730">
        <f>G26-H26</f>
        <v>-44154</v>
      </c>
      <c r="J26" s="798">
        <f>IF(I26=0,"",I26/H26)</f>
        <v>-1</v>
      </c>
      <c r="K26" s="783">
        <f>E26</f>
        <v>44154</v>
      </c>
    </row>
    <row r="27" spans="1:11" x14ac:dyDescent="0.25">
      <c r="A27" s="345" t="s">
        <v>112</v>
      </c>
      <c r="B27" s="346"/>
      <c r="C27" s="806">
        <f>C28+C50+C56+C63+C66</f>
        <v>48046631.590000004</v>
      </c>
      <c r="D27" s="810">
        <f t="shared" ref="D27:K27" si="8">D28+D50+D56+D63+D66</f>
        <v>63268436</v>
      </c>
      <c r="E27" s="781">
        <f t="shared" si="8"/>
        <v>64741628</v>
      </c>
      <c r="F27" s="781">
        <f t="shared" si="8"/>
        <v>631479.93999999994</v>
      </c>
      <c r="G27" s="781">
        <f t="shared" si="8"/>
        <v>37537165.850000001</v>
      </c>
      <c r="H27" s="781">
        <f t="shared" si="8"/>
        <v>64741628</v>
      </c>
      <c r="I27" s="781">
        <f>G27-H27</f>
        <v>-27204462.149999999</v>
      </c>
      <c r="J27" s="799">
        <f>IF(I27=0,"",I27/H27)</f>
        <v>-0.42020046437510034</v>
      </c>
      <c r="K27" s="782">
        <f t="shared" si="8"/>
        <v>64741628</v>
      </c>
    </row>
    <row r="28" spans="1:11" x14ac:dyDescent="0.25">
      <c r="A28" s="465" t="s">
        <v>113</v>
      </c>
      <c r="B28" s="346"/>
      <c r="C28" s="733">
        <f t="shared" ref="C28:H28" si="9">SUM(C29:C49)</f>
        <v>10708990.079999998</v>
      </c>
      <c r="D28" s="734">
        <f t="shared" si="9"/>
        <v>11157300</v>
      </c>
      <c r="E28" s="735">
        <f t="shared" si="9"/>
        <v>15272301</v>
      </c>
      <c r="F28" s="735">
        <f t="shared" si="9"/>
        <v>109793.43999999999</v>
      </c>
      <c r="G28" s="735">
        <f t="shared" si="9"/>
        <v>10409027.820000004</v>
      </c>
      <c r="H28" s="735">
        <f t="shared" si="9"/>
        <v>15272301</v>
      </c>
      <c r="I28" s="735">
        <f>G28-H28</f>
        <v>-4863273.179999996</v>
      </c>
      <c r="J28" s="797">
        <f>IF(I28=0,"",I28/H28)</f>
        <v>-0.31843748888919854</v>
      </c>
      <c r="K28" s="749">
        <f>SUM(K29:K49)</f>
        <v>15272301</v>
      </c>
    </row>
    <row r="29" spans="1:11" x14ac:dyDescent="0.25">
      <c r="A29" s="492" t="s">
        <v>169</v>
      </c>
      <c r="B29" s="346"/>
      <c r="C29" s="726">
        <v>0</v>
      </c>
      <c r="D29" s="727">
        <v>0</v>
      </c>
      <c r="E29" s="728">
        <v>0</v>
      </c>
      <c r="F29" s="728">
        <v>0</v>
      </c>
      <c r="G29" s="728">
        <v>0</v>
      </c>
      <c r="H29" s="728">
        <f t="shared" ref="H29:H49" si="10">E29/12*$L$1</f>
        <v>0</v>
      </c>
      <c r="I29" s="730">
        <f t="shared" ref="I29:I49" si="11">G29-H29</f>
        <v>0</v>
      </c>
      <c r="J29" s="798" t="str">
        <f t="shared" ref="J29:J49" si="12">IF(I29=0,"",I29/H29)</f>
        <v/>
      </c>
      <c r="K29" s="783">
        <f t="shared" ref="K29:K49" si="13">E29</f>
        <v>0</v>
      </c>
    </row>
    <row r="30" spans="1:11" x14ac:dyDescent="0.25">
      <c r="A30" s="492" t="s">
        <v>725</v>
      </c>
      <c r="B30" s="346"/>
      <c r="C30" s="726">
        <v>0</v>
      </c>
      <c r="D30" s="727">
        <v>0</v>
      </c>
      <c r="E30" s="728">
        <v>0</v>
      </c>
      <c r="F30" s="728">
        <v>0</v>
      </c>
      <c r="G30" s="728">
        <v>0</v>
      </c>
      <c r="H30" s="728">
        <f t="shared" si="10"/>
        <v>0</v>
      </c>
      <c r="I30" s="730">
        <f t="shared" si="11"/>
        <v>0</v>
      </c>
      <c r="J30" s="798" t="str">
        <f t="shared" si="12"/>
        <v/>
      </c>
      <c r="K30" s="783">
        <f t="shared" si="13"/>
        <v>0</v>
      </c>
    </row>
    <row r="31" spans="1:11" x14ac:dyDescent="0.25">
      <c r="A31" s="492" t="s">
        <v>1171</v>
      </c>
      <c r="B31" s="346"/>
      <c r="C31" s="726">
        <v>0</v>
      </c>
      <c r="D31" s="727">
        <v>0</v>
      </c>
      <c r="E31" s="728">
        <v>0</v>
      </c>
      <c r="F31" s="728">
        <v>0</v>
      </c>
      <c r="G31" s="728">
        <v>0</v>
      </c>
      <c r="H31" s="728">
        <f t="shared" si="10"/>
        <v>0</v>
      </c>
      <c r="I31" s="730">
        <f t="shared" si="11"/>
        <v>0</v>
      </c>
      <c r="J31" s="798" t="str">
        <f t="shared" si="12"/>
        <v/>
      </c>
      <c r="K31" s="783">
        <f t="shared" si="13"/>
        <v>0</v>
      </c>
    </row>
    <row r="32" spans="1:11" ht="22.5" x14ac:dyDescent="0.25">
      <c r="A32" s="492" t="s">
        <v>1172</v>
      </c>
      <c r="B32" s="346"/>
      <c r="C32" s="726">
        <v>968028.77</v>
      </c>
      <c r="D32" s="727">
        <v>789400</v>
      </c>
      <c r="E32" s="728">
        <v>789400</v>
      </c>
      <c r="F32" s="728">
        <v>94317.299999999988</v>
      </c>
      <c r="G32" s="728">
        <v>931519.29</v>
      </c>
      <c r="H32" s="728">
        <f t="shared" si="10"/>
        <v>789400</v>
      </c>
      <c r="I32" s="730">
        <f t="shared" si="11"/>
        <v>142119.29000000004</v>
      </c>
      <c r="J32" s="798">
        <f t="shared" si="12"/>
        <v>0.18003457055991898</v>
      </c>
      <c r="K32" s="783">
        <f t="shared" si="13"/>
        <v>789400</v>
      </c>
    </row>
    <row r="33" spans="1:11" x14ac:dyDescent="0.25">
      <c r="A33" s="492" t="s">
        <v>1173</v>
      </c>
      <c r="B33" s="346"/>
      <c r="C33" s="726">
        <v>0</v>
      </c>
      <c r="D33" s="727">
        <v>0</v>
      </c>
      <c r="E33" s="728">
        <v>0</v>
      </c>
      <c r="F33" s="728">
        <v>0</v>
      </c>
      <c r="G33" s="728">
        <v>0</v>
      </c>
      <c r="H33" s="728">
        <f t="shared" si="10"/>
        <v>0</v>
      </c>
      <c r="I33" s="730">
        <f t="shared" si="11"/>
        <v>0</v>
      </c>
      <c r="J33" s="798" t="str">
        <f t="shared" si="12"/>
        <v/>
      </c>
      <c r="K33" s="783">
        <f t="shared" si="13"/>
        <v>0</v>
      </c>
    </row>
    <row r="34" spans="1:11" x14ac:dyDescent="0.25">
      <c r="A34" s="492" t="s">
        <v>1174</v>
      </c>
      <c r="B34" s="346"/>
      <c r="C34" s="726">
        <v>205194.66999999998</v>
      </c>
      <c r="D34" s="727">
        <v>386800</v>
      </c>
      <c r="E34" s="728">
        <v>386800</v>
      </c>
      <c r="F34" s="728">
        <v>6503.67</v>
      </c>
      <c r="G34" s="728">
        <v>301455.53000000003</v>
      </c>
      <c r="H34" s="728">
        <f t="shared" si="10"/>
        <v>386800</v>
      </c>
      <c r="I34" s="730">
        <f t="shared" si="11"/>
        <v>-85344.469999999972</v>
      </c>
      <c r="J34" s="798">
        <f t="shared" si="12"/>
        <v>-0.22064237331954492</v>
      </c>
      <c r="K34" s="783">
        <f t="shared" si="13"/>
        <v>386800</v>
      </c>
    </row>
    <row r="35" spans="1:11" x14ac:dyDescent="0.25">
      <c r="A35" s="492" t="s">
        <v>1175</v>
      </c>
      <c r="B35" s="346"/>
      <c r="C35" s="726">
        <v>0</v>
      </c>
      <c r="D35" s="727">
        <v>0</v>
      </c>
      <c r="E35" s="728">
        <v>0</v>
      </c>
      <c r="F35" s="728">
        <v>0</v>
      </c>
      <c r="G35" s="728">
        <v>0</v>
      </c>
      <c r="H35" s="728">
        <f t="shared" si="10"/>
        <v>0</v>
      </c>
      <c r="I35" s="730">
        <f t="shared" si="11"/>
        <v>0</v>
      </c>
      <c r="J35" s="798" t="str">
        <f t="shared" si="12"/>
        <v/>
      </c>
      <c r="K35" s="783">
        <f t="shared" si="13"/>
        <v>0</v>
      </c>
    </row>
    <row r="36" spans="1:11" x14ac:dyDescent="0.25">
      <c r="A36" s="492" t="s">
        <v>1176</v>
      </c>
      <c r="B36" s="346"/>
      <c r="C36" s="726">
        <v>0</v>
      </c>
      <c r="D36" s="727">
        <v>0</v>
      </c>
      <c r="E36" s="728">
        <v>0</v>
      </c>
      <c r="F36" s="728">
        <v>0</v>
      </c>
      <c r="G36" s="728">
        <v>0</v>
      </c>
      <c r="H36" s="728">
        <f t="shared" si="10"/>
        <v>0</v>
      </c>
      <c r="I36" s="730">
        <f t="shared" si="11"/>
        <v>0</v>
      </c>
      <c r="J36" s="798" t="str">
        <f t="shared" si="12"/>
        <v/>
      </c>
      <c r="K36" s="783">
        <f t="shared" si="13"/>
        <v>0</v>
      </c>
    </row>
    <row r="37" spans="1:11" x14ac:dyDescent="0.25">
      <c r="A37" s="492" t="s">
        <v>1177</v>
      </c>
      <c r="B37" s="346"/>
      <c r="C37" s="726">
        <v>0</v>
      </c>
      <c r="D37" s="727">
        <v>0</v>
      </c>
      <c r="E37" s="728">
        <v>0</v>
      </c>
      <c r="F37" s="728">
        <v>0</v>
      </c>
      <c r="G37" s="728">
        <v>0</v>
      </c>
      <c r="H37" s="728">
        <f t="shared" si="10"/>
        <v>0</v>
      </c>
      <c r="I37" s="730">
        <f t="shared" si="11"/>
        <v>0</v>
      </c>
      <c r="J37" s="798" t="str">
        <f t="shared" si="12"/>
        <v/>
      </c>
      <c r="K37" s="783">
        <f t="shared" si="13"/>
        <v>0</v>
      </c>
    </row>
    <row r="38" spans="1:11" x14ac:dyDescent="0.25">
      <c r="A38" s="492" t="s">
        <v>1019</v>
      </c>
      <c r="B38" s="346"/>
      <c r="C38" s="726">
        <v>0</v>
      </c>
      <c r="D38" s="727">
        <v>0</v>
      </c>
      <c r="E38" s="728">
        <v>0</v>
      </c>
      <c r="F38" s="728">
        <v>0</v>
      </c>
      <c r="G38" s="728">
        <v>0</v>
      </c>
      <c r="H38" s="728">
        <f t="shared" si="10"/>
        <v>0</v>
      </c>
      <c r="I38" s="730">
        <f t="shared" si="11"/>
        <v>0</v>
      </c>
      <c r="J38" s="798" t="str">
        <f t="shared" si="12"/>
        <v/>
      </c>
      <c r="K38" s="783">
        <f t="shared" si="13"/>
        <v>0</v>
      </c>
    </row>
    <row r="39" spans="1:11" x14ac:dyDescent="0.25">
      <c r="A39" s="492" t="s">
        <v>1178</v>
      </c>
      <c r="B39" s="346"/>
      <c r="C39" s="726">
        <v>0</v>
      </c>
      <c r="D39" s="727">
        <v>0</v>
      </c>
      <c r="E39" s="728">
        <v>0</v>
      </c>
      <c r="F39" s="728">
        <v>0</v>
      </c>
      <c r="G39" s="728">
        <v>0</v>
      </c>
      <c r="H39" s="728">
        <f t="shared" si="10"/>
        <v>0</v>
      </c>
      <c r="I39" s="730">
        <f t="shared" si="11"/>
        <v>0</v>
      </c>
      <c r="J39" s="798" t="str">
        <f t="shared" si="12"/>
        <v/>
      </c>
      <c r="K39" s="783">
        <f t="shared" si="13"/>
        <v>0</v>
      </c>
    </row>
    <row r="40" spans="1:11" x14ac:dyDescent="0.25">
      <c r="A40" s="492" t="s">
        <v>1179</v>
      </c>
      <c r="B40" s="346"/>
      <c r="C40" s="726">
        <v>0</v>
      </c>
      <c r="D40" s="727">
        <v>0</v>
      </c>
      <c r="E40" s="728">
        <v>0</v>
      </c>
      <c r="F40" s="728">
        <v>0</v>
      </c>
      <c r="G40" s="728">
        <v>0</v>
      </c>
      <c r="H40" s="728">
        <f t="shared" si="10"/>
        <v>0</v>
      </c>
      <c r="I40" s="730">
        <f t="shared" si="11"/>
        <v>0</v>
      </c>
      <c r="J40" s="798" t="str">
        <f t="shared" si="12"/>
        <v/>
      </c>
      <c r="K40" s="783">
        <f t="shared" si="13"/>
        <v>0</v>
      </c>
    </row>
    <row r="41" spans="1:11" x14ac:dyDescent="0.25">
      <c r="A41" s="492" t="s">
        <v>1180</v>
      </c>
      <c r="B41" s="346"/>
      <c r="C41" s="726">
        <v>0</v>
      </c>
      <c r="D41" s="727">
        <v>0</v>
      </c>
      <c r="E41" s="728">
        <v>0</v>
      </c>
      <c r="F41" s="728">
        <v>0</v>
      </c>
      <c r="G41" s="728">
        <v>0</v>
      </c>
      <c r="H41" s="728">
        <f t="shared" si="10"/>
        <v>0</v>
      </c>
      <c r="I41" s="730">
        <f t="shared" si="11"/>
        <v>0</v>
      </c>
      <c r="J41" s="798" t="str">
        <f t="shared" si="12"/>
        <v/>
      </c>
      <c r="K41" s="783">
        <f t="shared" si="13"/>
        <v>0</v>
      </c>
    </row>
    <row r="42" spans="1:11" x14ac:dyDescent="0.25">
      <c r="A42" s="492" t="s">
        <v>168</v>
      </c>
      <c r="B42" s="346"/>
      <c r="C42" s="726">
        <v>9535766.6399999987</v>
      </c>
      <c r="D42" s="727">
        <v>9981100</v>
      </c>
      <c r="E42" s="728">
        <v>14096101</v>
      </c>
      <c r="F42" s="728">
        <v>8972.470000000003</v>
      </c>
      <c r="G42" s="728">
        <v>9176053.0000000037</v>
      </c>
      <c r="H42" s="728">
        <f t="shared" si="10"/>
        <v>14096101</v>
      </c>
      <c r="I42" s="730">
        <f t="shared" si="11"/>
        <v>-4920047.9999999963</v>
      </c>
      <c r="J42" s="798">
        <f t="shared" si="12"/>
        <v>-0.34903609161143184</v>
      </c>
      <c r="K42" s="783">
        <f t="shared" si="13"/>
        <v>14096101</v>
      </c>
    </row>
    <row r="43" spans="1:11" x14ac:dyDescent="0.25">
      <c r="A43" s="492" t="s">
        <v>1181</v>
      </c>
      <c r="B43" s="346"/>
      <c r="C43" s="726">
        <v>0</v>
      </c>
      <c r="D43" s="727">
        <v>0</v>
      </c>
      <c r="E43" s="728">
        <v>0</v>
      </c>
      <c r="F43" s="728">
        <v>0</v>
      </c>
      <c r="G43" s="728">
        <v>0</v>
      </c>
      <c r="H43" s="728">
        <f t="shared" si="10"/>
        <v>0</v>
      </c>
      <c r="I43" s="730">
        <f t="shared" si="11"/>
        <v>0</v>
      </c>
      <c r="J43" s="798" t="str">
        <f t="shared" si="12"/>
        <v/>
      </c>
      <c r="K43" s="783">
        <f t="shared" si="13"/>
        <v>0</v>
      </c>
    </row>
    <row r="44" spans="1:11" x14ac:dyDescent="0.25">
      <c r="A44" s="492" t="s">
        <v>1182</v>
      </c>
      <c r="B44" s="346"/>
      <c r="C44" s="726">
        <v>0</v>
      </c>
      <c r="D44" s="727">
        <v>0</v>
      </c>
      <c r="E44" s="728">
        <v>0</v>
      </c>
      <c r="F44" s="728">
        <v>0</v>
      </c>
      <c r="G44" s="728">
        <v>0</v>
      </c>
      <c r="H44" s="728">
        <f t="shared" si="10"/>
        <v>0</v>
      </c>
      <c r="I44" s="730">
        <f t="shared" si="11"/>
        <v>0</v>
      </c>
      <c r="J44" s="798" t="str">
        <f t="shared" si="12"/>
        <v/>
      </c>
      <c r="K44" s="783">
        <f t="shared" si="13"/>
        <v>0</v>
      </c>
    </row>
    <row r="45" spans="1:11" x14ac:dyDescent="0.25">
      <c r="A45" s="492" t="s">
        <v>1183</v>
      </c>
      <c r="B45" s="346"/>
      <c r="C45" s="726">
        <v>0</v>
      </c>
      <c r="D45" s="727">
        <v>0</v>
      </c>
      <c r="E45" s="728">
        <v>0</v>
      </c>
      <c r="F45" s="728">
        <v>0</v>
      </c>
      <c r="G45" s="728">
        <v>0</v>
      </c>
      <c r="H45" s="728">
        <f t="shared" si="10"/>
        <v>0</v>
      </c>
      <c r="I45" s="730">
        <f t="shared" si="11"/>
        <v>0</v>
      </c>
      <c r="J45" s="798" t="str">
        <f t="shared" si="12"/>
        <v/>
      </c>
      <c r="K45" s="783">
        <f t="shared" si="13"/>
        <v>0</v>
      </c>
    </row>
    <row r="46" spans="1:11" x14ac:dyDescent="0.25">
      <c r="A46" s="492" t="s">
        <v>1184</v>
      </c>
      <c r="B46" s="346"/>
      <c r="C46" s="726">
        <v>0</v>
      </c>
      <c r="D46" s="727">
        <v>0</v>
      </c>
      <c r="E46" s="728">
        <v>0</v>
      </c>
      <c r="F46" s="728">
        <v>0</v>
      </c>
      <c r="G46" s="728">
        <v>0</v>
      </c>
      <c r="H46" s="728">
        <f t="shared" si="10"/>
        <v>0</v>
      </c>
      <c r="I46" s="730">
        <f t="shared" si="11"/>
        <v>0</v>
      </c>
      <c r="J46" s="798" t="str">
        <f t="shared" si="12"/>
        <v/>
      </c>
      <c r="K46" s="783">
        <f t="shared" si="13"/>
        <v>0</v>
      </c>
    </row>
    <row r="47" spans="1:11" x14ac:dyDescent="0.25">
      <c r="A47" s="492" t="s">
        <v>1185</v>
      </c>
      <c r="B47" s="346"/>
      <c r="C47" s="726">
        <v>0</v>
      </c>
      <c r="D47" s="727">
        <v>0</v>
      </c>
      <c r="E47" s="728">
        <v>0</v>
      </c>
      <c r="F47" s="728">
        <v>0</v>
      </c>
      <c r="G47" s="728">
        <v>0</v>
      </c>
      <c r="H47" s="728">
        <f t="shared" si="10"/>
        <v>0</v>
      </c>
      <c r="I47" s="730">
        <f t="shared" si="11"/>
        <v>0</v>
      </c>
      <c r="J47" s="798" t="str">
        <f t="shared" si="12"/>
        <v/>
      </c>
      <c r="K47" s="783">
        <f t="shared" si="13"/>
        <v>0</v>
      </c>
    </row>
    <row r="48" spans="1:11" x14ac:dyDescent="0.25">
      <c r="A48" s="492" t="s">
        <v>1186</v>
      </c>
      <c r="B48" s="346"/>
      <c r="C48" s="726">
        <v>0</v>
      </c>
      <c r="D48" s="727">
        <v>0</v>
      </c>
      <c r="E48" s="728">
        <v>0</v>
      </c>
      <c r="F48" s="728">
        <v>0</v>
      </c>
      <c r="G48" s="728">
        <v>0</v>
      </c>
      <c r="H48" s="728">
        <f t="shared" si="10"/>
        <v>0</v>
      </c>
      <c r="I48" s="730">
        <f t="shared" si="11"/>
        <v>0</v>
      </c>
      <c r="J48" s="798" t="str">
        <f t="shared" si="12"/>
        <v/>
      </c>
      <c r="K48" s="783">
        <f t="shared" si="13"/>
        <v>0</v>
      </c>
    </row>
    <row r="49" spans="1:11" x14ac:dyDescent="0.25">
      <c r="A49" s="492" t="s">
        <v>1187</v>
      </c>
      <c r="B49" s="346"/>
      <c r="C49" s="726">
        <v>0</v>
      </c>
      <c r="D49" s="727">
        <v>0</v>
      </c>
      <c r="E49" s="728">
        <v>0</v>
      </c>
      <c r="F49" s="728">
        <v>0</v>
      </c>
      <c r="G49" s="728">
        <v>0</v>
      </c>
      <c r="H49" s="728">
        <f t="shared" si="10"/>
        <v>0</v>
      </c>
      <c r="I49" s="730">
        <f t="shared" si="11"/>
        <v>0</v>
      </c>
      <c r="J49" s="798" t="str">
        <f t="shared" si="12"/>
        <v/>
      </c>
      <c r="K49" s="783">
        <f t="shared" si="13"/>
        <v>0</v>
      </c>
    </row>
    <row r="50" spans="1:11" x14ac:dyDescent="0.25">
      <c r="A50" s="465" t="s">
        <v>114</v>
      </c>
      <c r="B50" s="346"/>
      <c r="C50" s="733">
        <f>SUM(C51:C55)</f>
        <v>3696251.46</v>
      </c>
      <c r="D50" s="734">
        <f t="shared" ref="D50:K50" si="14">SUM(D51:D55)</f>
        <v>11250205</v>
      </c>
      <c r="E50" s="735">
        <f t="shared" si="14"/>
        <v>11250205</v>
      </c>
      <c r="F50" s="735">
        <f t="shared" si="14"/>
        <v>133233.49000000002</v>
      </c>
      <c r="G50" s="735">
        <f t="shared" si="14"/>
        <v>3453394.63</v>
      </c>
      <c r="H50" s="735">
        <f t="shared" si="14"/>
        <v>11250205</v>
      </c>
      <c r="I50" s="735">
        <f t="shared" ref="I50:I55" si="15">G50-H50</f>
        <v>-7796810.3700000001</v>
      </c>
      <c r="J50" s="797">
        <f t="shared" ref="J50:J55" si="16">IF(I50=0,"",I50/H50)</f>
        <v>-0.69303718198912823</v>
      </c>
      <c r="K50" s="749">
        <f t="shared" si="14"/>
        <v>11250205</v>
      </c>
    </row>
    <row r="51" spans="1:11" x14ac:dyDescent="0.25">
      <c r="A51" s="492" t="s">
        <v>1188</v>
      </c>
      <c r="B51" s="346"/>
      <c r="C51" s="726">
        <v>0</v>
      </c>
      <c r="D51" s="727">
        <v>0</v>
      </c>
      <c r="E51" s="728">
        <v>0</v>
      </c>
      <c r="F51" s="728">
        <v>0</v>
      </c>
      <c r="G51" s="728">
        <v>0</v>
      </c>
      <c r="H51" s="728">
        <f>E51/12*$L$1</f>
        <v>0</v>
      </c>
      <c r="I51" s="730">
        <f t="shared" si="15"/>
        <v>0</v>
      </c>
      <c r="J51" s="798" t="str">
        <f t="shared" si="16"/>
        <v/>
      </c>
      <c r="K51" s="783">
        <f>E51</f>
        <v>0</v>
      </c>
    </row>
    <row r="52" spans="1:11" x14ac:dyDescent="0.25">
      <c r="A52" s="492" t="s">
        <v>1189</v>
      </c>
      <c r="B52" s="346"/>
      <c r="C52" s="726">
        <v>0</v>
      </c>
      <c r="D52" s="727">
        <v>0</v>
      </c>
      <c r="E52" s="728">
        <v>0</v>
      </c>
      <c r="F52" s="728">
        <v>0</v>
      </c>
      <c r="G52" s="728">
        <v>0</v>
      </c>
      <c r="H52" s="728">
        <f>E52/12*$L$1</f>
        <v>0</v>
      </c>
      <c r="I52" s="730">
        <f t="shared" si="15"/>
        <v>0</v>
      </c>
      <c r="J52" s="798" t="str">
        <f t="shared" si="16"/>
        <v/>
      </c>
      <c r="K52" s="783">
        <f>E52</f>
        <v>0</v>
      </c>
    </row>
    <row r="53" spans="1:11" x14ac:dyDescent="0.25">
      <c r="A53" s="492" t="s">
        <v>1190</v>
      </c>
      <c r="B53" s="346"/>
      <c r="C53" s="726">
        <v>0</v>
      </c>
      <c r="D53" s="727">
        <v>0</v>
      </c>
      <c r="E53" s="728">
        <v>0</v>
      </c>
      <c r="F53" s="728">
        <v>0</v>
      </c>
      <c r="G53" s="728">
        <v>0</v>
      </c>
      <c r="H53" s="728">
        <f>E53/12*$L$1</f>
        <v>0</v>
      </c>
      <c r="I53" s="730">
        <f t="shared" si="15"/>
        <v>0</v>
      </c>
      <c r="J53" s="798" t="str">
        <f t="shared" si="16"/>
        <v/>
      </c>
      <c r="K53" s="783">
        <f>E53</f>
        <v>0</v>
      </c>
    </row>
    <row r="54" spans="1:11" x14ac:dyDescent="0.25">
      <c r="A54" s="492" t="s">
        <v>1191</v>
      </c>
      <c r="B54" s="346"/>
      <c r="C54" s="726">
        <v>3546170.85</v>
      </c>
      <c r="D54" s="727">
        <v>3958400</v>
      </c>
      <c r="E54" s="728">
        <v>3958400</v>
      </c>
      <c r="F54" s="728">
        <v>129931.75000000001</v>
      </c>
      <c r="G54" s="728">
        <v>3402287.65</v>
      </c>
      <c r="H54" s="728">
        <f>E54/12*$L$1</f>
        <v>3958400</v>
      </c>
      <c r="I54" s="730">
        <f t="shared" si="15"/>
        <v>-556112.35000000009</v>
      </c>
      <c r="J54" s="798">
        <f t="shared" si="16"/>
        <v>-0.14048917491915927</v>
      </c>
      <c r="K54" s="783">
        <f>E54</f>
        <v>3958400</v>
      </c>
    </row>
    <row r="55" spans="1:11" x14ac:dyDescent="0.25">
      <c r="A55" s="492" t="s">
        <v>1192</v>
      </c>
      <c r="B55" s="346"/>
      <c r="C55" s="726">
        <v>150080.60999999999</v>
      </c>
      <c r="D55" s="727">
        <v>7291805</v>
      </c>
      <c r="E55" s="728">
        <v>7291805</v>
      </c>
      <c r="F55" s="728">
        <v>3301.74</v>
      </c>
      <c r="G55" s="728">
        <v>51106.98</v>
      </c>
      <c r="H55" s="728">
        <f>E55/12*$L$1</f>
        <v>7291805</v>
      </c>
      <c r="I55" s="730">
        <f t="shared" si="15"/>
        <v>-7240698.0199999996</v>
      </c>
      <c r="J55" s="798">
        <f t="shared" si="16"/>
        <v>-0.99299117571026652</v>
      </c>
      <c r="K55" s="783">
        <f>E55</f>
        <v>7291805</v>
      </c>
    </row>
    <row r="56" spans="1:11" x14ac:dyDescent="0.25">
      <c r="A56" s="465" t="s">
        <v>115</v>
      </c>
      <c r="B56" s="346"/>
      <c r="C56" s="733">
        <f>SUM(C57:C62)</f>
        <v>1279743.6500000001</v>
      </c>
      <c r="D56" s="734">
        <f t="shared" ref="D56:K56" si="17">SUM(D57:D62)</f>
        <v>1501395</v>
      </c>
      <c r="E56" s="735">
        <f t="shared" si="17"/>
        <v>3121395</v>
      </c>
      <c r="F56" s="735">
        <f t="shared" si="17"/>
        <v>23469.79</v>
      </c>
      <c r="G56" s="735">
        <f t="shared" si="17"/>
        <v>1533185.47</v>
      </c>
      <c r="H56" s="735">
        <f t="shared" si="17"/>
        <v>3121395</v>
      </c>
      <c r="I56" s="735">
        <f>G56-H56</f>
        <v>-1588209.53</v>
      </c>
      <c r="J56" s="797">
        <f>IF(I56=0,"",I56/H56)</f>
        <v>-0.5088140174505309</v>
      </c>
      <c r="K56" s="749">
        <f t="shared" si="17"/>
        <v>3121395</v>
      </c>
    </row>
    <row r="57" spans="1:11" x14ac:dyDescent="0.25">
      <c r="A57" s="492" t="s">
        <v>171</v>
      </c>
      <c r="B57" s="346"/>
      <c r="C57" s="726">
        <v>0</v>
      </c>
      <c r="D57" s="727">
        <v>0</v>
      </c>
      <c r="E57" s="728">
        <v>0</v>
      </c>
      <c r="F57" s="728">
        <v>0</v>
      </c>
      <c r="G57" s="728">
        <v>0</v>
      </c>
      <c r="H57" s="728">
        <f t="shared" ref="H57:H62" si="18">E57/12*$L$1</f>
        <v>0</v>
      </c>
      <c r="I57" s="730">
        <f t="shared" ref="I57:I62" si="19">G57-H57</f>
        <v>0</v>
      </c>
      <c r="J57" s="798" t="str">
        <f t="shared" ref="J57:J62" si="20">IF(I57=0,"",I57/H57)</f>
        <v/>
      </c>
      <c r="K57" s="783">
        <f t="shared" ref="K57:K62" si="21">E57</f>
        <v>0</v>
      </c>
    </row>
    <row r="58" spans="1:11" x14ac:dyDescent="0.25">
      <c r="A58" s="492" t="s">
        <v>1193</v>
      </c>
      <c r="B58" s="346"/>
      <c r="C58" s="726">
        <v>0</v>
      </c>
      <c r="D58" s="727">
        <v>0</v>
      </c>
      <c r="E58" s="728">
        <v>0</v>
      </c>
      <c r="F58" s="728">
        <v>0</v>
      </c>
      <c r="G58" s="728">
        <v>0</v>
      </c>
      <c r="H58" s="728">
        <f t="shared" si="18"/>
        <v>0</v>
      </c>
      <c r="I58" s="730">
        <f t="shared" si="19"/>
        <v>0</v>
      </c>
      <c r="J58" s="798" t="str">
        <f t="shared" si="20"/>
        <v/>
      </c>
      <c r="K58" s="783">
        <f t="shared" si="21"/>
        <v>0</v>
      </c>
    </row>
    <row r="59" spans="1:11" x14ac:dyDescent="0.25">
      <c r="A59" s="492" t="s">
        <v>1194</v>
      </c>
      <c r="B59" s="346"/>
      <c r="C59" s="726">
        <v>0</v>
      </c>
      <c r="D59" s="727">
        <v>0</v>
      </c>
      <c r="E59" s="728">
        <v>0</v>
      </c>
      <c r="F59" s="728">
        <v>0</v>
      </c>
      <c r="G59" s="728">
        <v>0</v>
      </c>
      <c r="H59" s="728">
        <f t="shared" si="18"/>
        <v>0</v>
      </c>
      <c r="I59" s="730">
        <f t="shared" si="19"/>
        <v>0</v>
      </c>
      <c r="J59" s="798" t="str">
        <f t="shared" si="20"/>
        <v/>
      </c>
      <c r="K59" s="783">
        <f t="shared" si="21"/>
        <v>0</v>
      </c>
    </row>
    <row r="60" spans="1:11" x14ac:dyDescent="0.25">
      <c r="A60" s="492" t="s">
        <v>1195</v>
      </c>
      <c r="B60" s="346"/>
      <c r="C60" s="726">
        <v>0</v>
      </c>
      <c r="D60" s="727">
        <v>0</v>
      </c>
      <c r="E60" s="728">
        <v>0</v>
      </c>
      <c r="F60" s="728">
        <v>0</v>
      </c>
      <c r="G60" s="728">
        <v>0</v>
      </c>
      <c r="H60" s="728">
        <f t="shared" si="18"/>
        <v>0</v>
      </c>
      <c r="I60" s="730">
        <f t="shared" si="19"/>
        <v>0</v>
      </c>
      <c r="J60" s="798" t="str">
        <f t="shared" si="20"/>
        <v/>
      </c>
      <c r="K60" s="783">
        <f t="shared" si="21"/>
        <v>0</v>
      </c>
    </row>
    <row r="61" spans="1:11" x14ac:dyDescent="0.25">
      <c r="A61" s="492" t="s">
        <v>1196</v>
      </c>
      <c r="B61" s="346"/>
      <c r="C61" s="726">
        <v>1279743.6500000001</v>
      </c>
      <c r="D61" s="727">
        <v>1501395</v>
      </c>
      <c r="E61" s="728">
        <v>3121395</v>
      </c>
      <c r="F61" s="728">
        <v>23469.79</v>
      </c>
      <c r="G61" s="728">
        <v>1533185.47</v>
      </c>
      <c r="H61" s="728">
        <f t="shared" si="18"/>
        <v>3121395</v>
      </c>
      <c r="I61" s="730">
        <f t="shared" si="19"/>
        <v>-1588209.53</v>
      </c>
      <c r="J61" s="798">
        <f t="shared" si="20"/>
        <v>-0.5088140174505309</v>
      </c>
      <c r="K61" s="783">
        <f t="shared" si="21"/>
        <v>3121395</v>
      </c>
    </row>
    <row r="62" spans="1:11" x14ac:dyDescent="0.25">
      <c r="A62" s="492" t="s">
        <v>1197</v>
      </c>
      <c r="B62" s="346"/>
      <c r="C62" s="726">
        <v>0</v>
      </c>
      <c r="D62" s="727">
        <v>0</v>
      </c>
      <c r="E62" s="728">
        <v>0</v>
      </c>
      <c r="F62" s="728">
        <v>0</v>
      </c>
      <c r="G62" s="728">
        <v>0</v>
      </c>
      <c r="H62" s="728">
        <f t="shared" si="18"/>
        <v>0</v>
      </c>
      <c r="I62" s="730">
        <f t="shared" si="19"/>
        <v>0</v>
      </c>
      <c r="J62" s="798" t="str">
        <f t="shared" si="20"/>
        <v/>
      </c>
      <c r="K62" s="783">
        <f t="shared" si="21"/>
        <v>0</v>
      </c>
    </row>
    <row r="63" spans="1:11" x14ac:dyDescent="0.25">
      <c r="A63" s="465" t="s">
        <v>724</v>
      </c>
      <c r="B63" s="346"/>
      <c r="C63" s="733">
        <f t="shared" ref="C63:H63" si="22">SUM(C64:C65)</f>
        <v>32361646.400000002</v>
      </c>
      <c r="D63" s="734">
        <f t="shared" si="22"/>
        <v>39359536</v>
      </c>
      <c r="E63" s="735">
        <f t="shared" si="22"/>
        <v>35097727</v>
      </c>
      <c r="F63" s="735">
        <f t="shared" si="22"/>
        <v>364983.22</v>
      </c>
      <c r="G63" s="735">
        <f t="shared" si="22"/>
        <v>22141557.929999996</v>
      </c>
      <c r="H63" s="735">
        <f t="shared" si="22"/>
        <v>35097727</v>
      </c>
      <c r="I63" s="735">
        <f>G63-H63</f>
        <v>-12956169.070000004</v>
      </c>
      <c r="J63" s="797">
        <f>IF(I63=0,"",I63/H63)</f>
        <v>-0.36914553099122355</v>
      </c>
      <c r="K63" s="749">
        <f>SUM(K64:K65)</f>
        <v>35097727</v>
      </c>
    </row>
    <row r="64" spans="1:11" x14ac:dyDescent="0.25">
      <c r="A64" s="492" t="s">
        <v>724</v>
      </c>
      <c r="B64" s="346"/>
      <c r="C64" s="726">
        <v>32361646.400000002</v>
      </c>
      <c r="D64" s="727">
        <v>39359536</v>
      </c>
      <c r="E64" s="728">
        <v>35097727</v>
      </c>
      <c r="F64" s="728">
        <v>364983.22</v>
      </c>
      <c r="G64" s="728">
        <v>22141557.929999996</v>
      </c>
      <c r="H64" s="728">
        <f>E64/12*$L$1</f>
        <v>35097727</v>
      </c>
      <c r="I64" s="730">
        <f>G64-H64</f>
        <v>-12956169.070000004</v>
      </c>
      <c r="J64" s="798">
        <f>IF(I64=0,"",I64/H64)</f>
        <v>-0.36914553099122355</v>
      </c>
      <c r="K64" s="783">
        <f>E64</f>
        <v>35097727</v>
      </c>
    </row>
    <row r="65" spans="1:11" x14ac:dyDescent="0.25">
      <c r="A65" s="492" t="s">
        <v>1198</v>
      </c>
      <c r="B65" s="346"/>
      <c r="C65" s="726">
        <v>0</v>
      </c>
      <c r="D65" s="727">
        <v>0</v>
      </c>
      <c r="E65" s="728">
        <v>0</v>
      </c>
      <c r="F65" s="728">
        <v>0</v>
      </c>
      <c r="G65" s="728">
        <v>0</v>
      </c>
      <c r="H65" s="728">
        <f>E65/12*$L$1</f>
        <v>0</v>
      </c>
      <c r="I65" s="730">
        <f>G65-H65</f>
        <v>0</v>
      </c>
      <c r="J65" s="798" t="str">
        <f>IF(I65=0,"",I65/H65)</f>
        <v/>
      </c>
      <c r="K65" s="783">
        <f>E65</f>
        <v>0</v>
      </c>
    </row>
    <row r="66" spans="1:11" x14ac:dyDescent="0.25">
      <c r="A66" s="465" t="s">
        <v>621</v>
      </c>
      <c r="B66" s="346"/>
      <c r="C66" s="733">
        <f t="shared" ref="C66:H66" si="23">SUM(C67:C73)</f>
        <v>0</v>
      </c>
      <c r="D66" s="734">
        <f t="shared" si="23"/>
        <v>0</v>
      </c>
      <c r="E66" s="735">
        <f t="shared" si="23"/>
        <v>0</v>
      </c>
      <c r="F66" s="735">
        <f t="shared" si="23"/>
        <v>0</v>
      </c>
      <c r="G66" s="735">
        <f t="shared" si="23"/>
        <v>0</v>
      </c>
      <c r="H66" s="735">
        <f t="shared" si="23"/>
        <v>0</v>
      </c>
      <c r="I66" s="735">
        <f>G66-H66</f>
        <v>0</v>
      </c>
      <c r="J66" s="797" t="str">
        <f>IF(I66=0,"",I66/H66)</f>
        <v/>
      </c>
      <c r="K66" s="749">
        <f>SUM(K67:K73)</f>
        <v>0</v>
      </c>
    </row>
    <row r="67" spans="1:11" x14ac:dyDescent="0.25">
      <c r="A67" s="492" t="s">
        <v>526</v>
      </c>
      <c r="B67" s="346"/>
      <c r="C67" s="726">
        <v>0</v>
      </c>
      <c r="D67" s="727">
        <v>0</v>
      </c>
      <c r="E67" s="728">
        <v>0</v>
      </c>
      <c r="F67" s="728">
        <v>0</v>
      </c>
      <c r="G67" s="728">
        <v>0</v>
      </c>
      <c r="H67" s="728">
        <f t="shared" ref="H67:H73" si="24">E67/12*$L$1</f>
        <v>0</v>
      </c>
      <c r="I67" s="730">
        <f t="shared" ref="I67:I73" si="25">G67-H67</f>
        <v>0</v>
      </c>
      <c r="J67" s="798" t="str">
        <f t="shared" ref="J67:J73" si="26">IF(I67=0,"",I67/H67)</f>
        <v/>
      </c>
      <c r="K67" s="783">
        <f t="shared" ref="K67:K73" si="27">E67</f>
        <v>0</v>
      </c>
    </row>
    <row r="68" spans="1:11" x14ac:dyDescent="0.25">
      <c r="A68" s="492" t="s">
        <v>1199</v>
      </c>
      <c r="B68" s="346"/>
      <c r="C68" s="726">
        <v>0</v>
      </c>
      <c r="D68" s="727">
        <v>0</v>
      </c>
      <c r="E68" s="728">
        <v>0</v>
      </c>
      <c r="F68" s="728">
        <v>0</v>
      </c>
      <c r="G68" s="728">
        <v>0</v>
      </c>
      <c r="H68" s="728">
        <f t="shared" si="24"/>
        <v>0</v>
      </c>
      <c r="I68" s="730">
        <f t="shared" si="25"/>
        <v>0</v>
      </c>
      <c r="J68" s="798" t="str">
        <f t="shared" si="26"/>
        <v/>
      </c>
      <c r="K68" s="783">
        <f t="shared" si="27"/>
        <v>0</v>
      </c>
    </row>
    <row r="69" spans="1:11" x14ac:dyDescent="0.25">
      <c r="A69" s="492" t="s">
        <v>1200</v>
      </c>
      <c r="B69" s="346"/>
      <c r="C69" s="726">
        <v>0</v>
      </c>
      <c r="D69" s="727">
        <v>0</v>
      </c>
      <c r="E69" s="728">
        <v>0</v>
      </c>
      <c r="F69" s="728">
        <v>0</v>
      </c>
      <c r="G69" s="728">
        <v>0</v>
      </c>
      <c r="H69" s="728">
        <f t="shared" si="24"/>
        <v>0</v>
      </c>
      <c r="I69" s="730">
        <f t="shared" si="25"/>
        <v>0</v>
      </c>
      <c r="J69" s="798" t="str">
        <f t="shared" si="26"/>
        <v/>
      </c>
      <c r="K69" s="783">
        <f t="shared" si="27"/>
        <v>0</v>
      </c>
    </row>
    <row r="70" spans="1:11" x14ac:dyDescent="0.25">
      <c r="A70" s="492" t="s">
        <v>1201</v>
      </c>
      <c r="B70" s="346"/>
      <c r="C70" s="726">
        <v>0</v>
      </c>
      <c r="D70" s="727">
        <v>0</v>
      </c>
      <c r="E70" s="728">
        <v>0</v>
      </c>
      <c r="F70" s="728">
        <v>0</v>
      </c>
      <c r="G70" s="728">
        <v>0</v>
      </c>
      <c r="H70" s="728">
        <f t="shared" si="24"/>
        <v>0</v>
      </c>
      <c r="I70" s="730">
        <f t="shared" si="25"/>
        <v>0</v>
      </c>
      <c r="J70" s="798" t="str">
        <f t="shared" si="26"/>
        <v/>
      </c>
      <c r="K70" s="783">
        <f t="shared" si="27"/>
        <v>0</v>
      </c>
    </row>
    <row r="71" spans="1:11" ht="33.75" x14ac:dyDescent="0.25">
      <c r="A71" s="492" t="s">
        <v>1202</v>
      </c>
      <c r="B71" s="346"/>
      <c r="C71" s="726">
        <v>0</v>
      </c>
      <c r="D71" s="727">
        <v>0</v>
      </c>
      <c r="E71" s="728">
        <v>0</v>
      </c>
      <c r="F71" s="728">
        <v>0</v>
      </c>
      <c r="G71" s="728">
        <v>0</v>
      </c>
      <c r="H71" s="728">
        <f t="shared" si="24"/>
        <v>0</v>
      </c>
      <c r="I71" s="730">
        <f t="shared" si="25"/>
        <v>0</v>
      </c>
      <c r="J71" s="798" t="str">
        <f t="shared" si="26"/>
        <v/>
      </c>
      <c r="K71" s="783">
        <f t="shared" si="27"/>
        <v>0</v>
      </c>
    </row>
    <row r="72" spans="1:11" x14ac:dyDescent="0.25">
      <c r="A72" s="492" t="s">
        <v>1203</v>
      </c>
      <c r="B72" s="346"/>
      <c r="C72" s="726">
        <v>0</v>
      </c>
      <c r="D72" s="727">
        <v>0</v>
      </c>
      <c r="E72" s="728">
        <v>0</v>
      </c>
      <c r="F72" s="728">
        <v>0</v>
      </c>
      <c r="G72" s="728">
        <v>0</v>
      </c>
      <c r="H72" s="728">
        <f t="shared" si="24"/>
        <v>0</v>
      </c>
      <c r="I72" s="730">
        <f t="shared" si="25"/>
        <v>0</v>
      </c>
      <c r="J72" s="798" t="str">
        <f t="shared" si="26"/>
        <v/>
      </c>
      <c r="K72" s="783">
        <f t="shared" si="27"/>
        <v>0</v>
      </c>
    </row>
    <row r="73" spans="1:11" x14ac:dyDescent="0.25">
      <c r="A73" s="492" t="s">
        <v>1204</v>
      </c>
      <c r="B73" s="346"/>
      <c r="C73" s="726">
        <v>0</v>
      </c>
      <c r="D73" s="727">
        <v>0</v>
      </c>
      <c r="E73" s="728">
        <v>0</v>
      </c>
      <c r="F73" s="728">
        <v>0</v>
      </c>
      <c r="G73" s="728">
        <v>0</v>
      </c>
      <c r="H73" s="728">
        <f t="shared" si="24"/>
        <v>0</v>
      </c>
      <c r="I73" s="730">
        <f t="shared" si="25"/>
        <v>0</v>
      </c>
      <c r="J73" s="798" t="str">
        <f t="shared" si="26"/>
        <v/>
      </c>
      <c r="K73" s="783">
        <f t="shared" si="27"/>
        <v>0</v>
      </c>
    </row>
    <row r="74" spans="1:11" x14ac:dyDescent="0.25">
      <c r="A74" s="345" t="s">
        <v>116</v>
      </c>
      <c r="B74" s="346"/>
      <c r="C74" s="806">
        <f>C75+C86+C93</f>
        <v>154657472.05000004</v>
      </c>
      <c r="D74" s="810">
        <f t="shared" ref="D74:K74" si="28">D75+D86+D93</f>
        <v>111898052</v>
      </c>
      <c r="E74" s="781">
        <f t="shared" si="28"/>
        <v>156533470</v>
      </c>
      <c r="F74" s="781">
        <f t="shared" si="28"/>
        <v>18097189.789999999</v>
      </c>
      <c r="G74" s="781">
        <f t="shared" si="28"/>
        <v>131898070.22999999</v>
      </c>
      <c r="H74" s="781">
        <f t="shared" si="28"/>
        <v>156533470</v>
      </c>
      <c r="I74" s="781">
        <f>G74-H74</f>
        <v>-24635399.770000011</v>
      </c>
      <c r="J74" s="799">
        <f>IF(I74=0,"",I74/H74)</f>
        <v>-0.15738103659236591</v>
      </c>
      <c r="K74" s="782">
        <f t="shared" si="28"/>
        <v>156533470</v>
      </c>
    </row>
    <row r="75" spans="1:11" x14ac:dyDescent="0.25">
      <c r="A75" s="465" t="s">
        <v>117</v>
      </c>
      <c r="B75" s="346"/>
      <c r="C75" s="733">
        <f t="shared" ref="C75:H75" si="29">SUM(C76:C85)</f>
        <v>8990235.9299999997</v>
      </c>
      <c r="D75" s="734">
        <f t="shared" si="29"/>
        <v>4832285</v>
      </c>
      <c r="E75" s="735">
        <f t="shared" si="29"/>
        <v>6330703</v>
      </c>
      <c r="F75" s="735">
        <f t="shared" si="29"/>
        <v>77747.710000000006</v>
      </c>
      <c r="G75" s="735">
        <f t="shared" si="29"/>
        <v>1331512.02</v>
      </c>
      <c r="H75" s="735">
        <f t="shared" si="29"/>
        <v>6330703</v>
      </c>
      <c r="I75" s="735">
        <f>G75-H75</f>
        <v>-4999190.9800000004</v>
      </c>
      <c r="J75" s="797">
        <f>IF(I75=0,"",I75/H75)</f>
        <v>-0.78967390825315931</v>
      </c>
      <c r="K75" s="749">
        <f>SUM(K76:K85)</f>
        <v>6330703</v>
      </c>
    </row>
    <row r="76" spans="1:11" x14ac:dyDescent="0.25">
      <c r="A76" s="492" t="s">
        <v>1205</v>
      </c>
      <c r="B76" s="346"/>
      <c r="C76" s="726">
        <v>0</v>
      </c>
      <c r="D76" s="727">
        <v>0</v>
      </c>
      <c r="E76" s="728">
        <v>0</v>
      </c>
      <c r="F76" s="728">
        <v>0</v>
      </c>
      <c r="G76" s="728">
        <v>0</v>
      </c>
      <c r="H76" s="728">
        <f t="shared" ref="H76:H85" si="30">E76/12*$L$1</f>
        <v>0</v>
      </c>
      <c r="I76" s="730">
        <f t="shared" ref="I76:I85" si="31">G76-H76</f>
        <v>0</v>
      </c>
      <c r="J76" s="798" t="str">
        <f t="shared" ref="J76:J85" si="32">IF(I76=0,"",I76/H76)</f>
        <v/>
      </c>
      <c r="K76" s="783">
        <f t="shared" ref="K76:K85" si="33">E76</f>
        <v>0</v>
      </c>
    </row>
    <row r="77" spans="1:11" ht="22.5" x14ac:dyDescent="0.25">
      <c r="A77" s="492" t="s">
        <v>1206</v>
      </c>
      <c r="B77" s="346"/>
      <c r="C77" s="726">
        <v>85380.9</v>
      </c>
      <c r="D77" s="727">
        <v>126585</v>
      </c>
      <c r="E77" s="728">
        <v>126585</v>
      </c>
      <c r="F77" s="728">
        <v>0</v>
      </c>
      <c r="G77" s="728">
        <v>126585</v>
      </c>
      <c r="H77" s="728">
        <f t="shared" si="30"/>
        <v>126585</v>
      </c>
      <c r="I77" s="730">
        <f t="shared" si="31"/>
        <v>0</v>
      </c>
      <c r="J77" s="798" t="str">
        <f t="shared" si="32"/>
        <v/>
      </c>
      <c r="K77" s="783">
        <f t="shared" si="33"/>
        <v>126585</v>
      </c>
    </row>
    <row r="78" spans="1:11" x14ac:dyDescent="0.25">
      <c r="A78" s="492" t="s">
        <v>1207</v>
      </c>
      <c r="B78" s="346"/>
      <c r="C78" s="726">
        <v>0</v>
      </c>
      <c r="D78" s="727">
        <v>0</v>
      </c>
      <c r="E78" s="728">
        <v>0</v>
      </c>
      <c r="F78" s="728">
        <v>0</v>
      </c>
      <c r="G78" s="728">
        <v>0</v>
      </c>
      <c r="H78" s="728">
        <f t="shared" si="30"/>
        <v>0</v>
      </c>
      <c r="I78" s="730">
        <f t="shared" si="31"/>
        <v>0</v>
      </c>
      <c r="J78" s="798" t="str">
        <f t="shared" si="32"/>
        <v/>
      </c>
      <c r="K78" s="783">
        <f t="shared" si="33"/>
        <v>0</v>
      </c>
    </row>
    <row r="79" spans="1:11" x14ac:dyDescent="0.25">
      <c r="A79" s="492" t="s">
        <v>1208</v>
      </c>
      <c r="B79" s="346"/>
      <c r="C79" s="726">
        <v>0</v>
      </c>
      <c r="D79" s="727">
        <v>0</v>
      </c>
      <c r="E79" s="728">
        <v>0</v>
      </c>
      <c r="F79" s="728">
        <v>0</v>
      </c>
      <c r="G79" s="728">
        <v>0</v>
      </c>
      <c r="H79" s="728">
        <f t="shared" si="30"/>
        <v>0</v>
      </c>
      <c r="I79" s="730">
        <f t="shared" si="31"/>
        <v>0</v>
      </c>
      <c r="J79" s="798" t="str">
        <f t="shared" si="32"/>
        <v/>
      </c>
      <c r="K79" s="783">
        <f t="shared" si="33"/>
        <v>0</v>
      </c>
    </row>
    <row r="80" spans="1:11" x14ac:dyDescent="0.25">
      <c r="A80" s="492" t="s">
        <v>1209</v>
      </c>
      <c r="B80" s="346"/>
      <c r="C80" s="726">
        <v>0</v>
      </c>
      <c r="D80" s="727">
        <v>0</v>
      </c>
      <c r="E80" s="728">
        <v>0</v>
      </c>
      <c r="F80" s="728">
        <v>0</v>
      </c>
      <c r="G80" s="728">
        <v>0</v>
      </c>
      <c r="H80" s="728">
        <f t="shared" si="30"/>
        <v>0</v>
      </c>
      <c r="I80" s="730">
        <f t="shared" si="31"/>
        <v>0</v>
      </c>
      <c r="J80" s="798" t="str">
        <f t="shared" si="32"/>
        <v/>
      </c>
      <c r="K80" s="783">
        <f t="shared" si="33"/>
        <v>0</v>
      </c>
    </row>
    <row r="81" spans="1:11" x14ac:dyDescent="0.25">
      <c r="A81" s="492" t="s">
        <v>1210</v>
      </c>
      <c r="B81" s="346"/>
      <c r="C81" s="726">
        <v>0</v>
      </c>
      <c r="D81" s="727">
        <v>0</v>
      </c>
      <c r="E81" s="728">
        <v>0</v>
      </c>
      <c r="F81" s="728">
        <v>0</v>
      </c>
      <c r="G81" s="728">
        <v>0</v>
      </c>
      <c r="H81" s="728">
        <f t="shared" si="30"/>
        <v>0</v>
      </c>
      <c r="I81" s="730">
        <f t="shared" si="31"/>
        <v>0</v>
      </c>
      <c r="J81" s="798" t="str">
        <f t="shared" si="32"/>
        <v/>
      </c>
      <c r="K81" s="783">
        <f t="shared" si="33"/>
        <v>0</v>
      </c>
    </row>
    <row r="82" spans="1:11" ht="22.5" x14ac:dyDescent="0.25">
      <c r="A82" s="492" t="s">
        <v>1211</v>
      </c>
      <c r="B82" s="346"/>
      <c r="C82" s="726">
        <v>1320873.4399999995</v>
      </c>
      <c r="D82" s="727">
        <v>1505700</v>
      </c>
      <c r="E82" s="728">
        <v>1505700</v>
      </c>
      <c r="F82" s="728">
        <v>77747.710000000006</v>
      </c>
      <c r="G82" s="728">
        <v>1204927.02</v>
      </c>
      <c r="H82" s="728">
        <f t="shared" si="30"/>
        <v>1505700</v>
      </c>
      <c r="I82" s="730">
        <f t="shared" si="31"/>
        <v>-300772.98</v>
      </c>
      <c r="J82" s="798">
        <f t="shared" si="32"/>
        <v>-0.19975624626419605</v>
      </c>
      <c r="K82" s="783">
        <f t="shared" si="33"/>
        <v>1505700</v>
      </c>
    </row>
    <row r="83" spans="1:11" x14ac:dyDescent="0.25">
      <c r="A83" s="492" t="s">
        <v>1212</v>
      </c>
      <c r="B83" s="346"/>
      <c r="C83" s="726">
        <v>7583981.5899999999</v>
      </c>
      <c r="D83" s="727">
        <v>3200000</v>
      </c>
      <c r="E83" s="728">
        <v>4698418</v>
      </c>
      <c r="F83" s="728">
        <v>0</v>
      </c>
      <c r="G83" s="728">
        <v>0</v>
      </c>
      <c r="H83" s="728">
        <f t="shared" si="30"/>
        <v>4698418</v>
      </c>
      <c r="I83" s="730">
        <f t="shared" si="31"/>
        <v>-4698418</v>
      </c>
      <c r="J83" s="798">
        <f t="shared" si="32"/>
        <v>-1</v>
      </c>
      <c r="K83" s="783">
        <f t="shared" si="33"/>
        <v>4698418</v>
      </c>
    </row>
    <row r="84" spans="1:11" x14ac:dyDescent="0.25">
      <c r="A84" s="492" t="s">
        <v>1213</v>
      </c>
      <c r="B84" s="346"/>
      <c r="C84" s="726">
        <v>0</v>
      </c>
      <c r="D84" s="727">
        <v>0</v>
      </c>
      <c r="E84" s="728">
        <v>0</v>
      </c>
      <c r="F84" s="728">
        <v>0</v>
      </c>
      <c r="G84" s="728">
        <v>0</v>
      </c>
      <c r="H84" s="728">
        <f t="shared" si="30"/>
        <v>0</v>
      </c>
      <c r="I84" s="730">
        <f t="shared" si="31"/>
        <v>0</v>
      </c>
      <c r="J84" s="798" t="str">
        <f t="shared" si="32"/>
        <v/>
      </c>
      <c r="K84" s="783">
        <f t="shared" si="33"/>
        <v>0</v>
      </c>
    </row>
    <row r="85" spans="1:11" x14ac:dyDescent="0.25">
      <c r="A85" s="492" t="s">
        <v>1214</v>
      </c>
      <c r="B85" s="346"/>
      <c r="C85" s="726">
        <v>0</v>
      </c>
      <c r="D85" s="727">
        <v>0</v>
      </c>
      <c r="E85" s="728">
        <v>0</v>
      </c>
      <c r="F85" s="728">
        <v>0</v>
      </c>
      <c r="G85" s="728">
        <v>0</v>
      </c>
      <c r="H85" s="728">
        <f t="shared" si="30"/>
        <v>0</v>
      </c>
      <c r="I85" s="730">
        <f t="shared" si="31"/>
        <v>0</v>
      </c>
      <c r="J85" s="798" t="str">
        <f t="shared" si="32"/>
        <v/>
      </c>
      <c r="K85" s="783">
        <f t="shared" si="33"/>
        <v>0</v>
      </c>
    </row>
    <row r="86" spans="1:11" x14ac:dyDescent="0.25">
      <c r="A86" s="465" t="s">
        <v>118</v>
      </c>
      <c r="B86" s="346"/>
      <c r="C86" s="733">
        <f>SUM(C87:C92)</f>
        <v>142942092.51000002</v>
      </c>
      <c r="D86" s="734">
        <f t="shared" ref="D86:K86" si="34">SUM(D87:D92)</f>
        <v>104803520</v>
      </c>
      <c r="E86" s="735">
        <f t="shared" si="34"/>
        <v>147940520</v>
      </c>
      <c r="F86" s="735">
        <f t="shared" si="34"/>
        <v>18019442.079999998</v>
      </c>
      <c r="G86" s="735">
        <f t="shared" si="34"/>
        <v>129483349.97999999</v>
      </c>
      <c r="H86" s="735">
        <f t="shared" si="34"/>
        <v>147940520</v>
      </c>
      <c r="I86" s="735">
        <f>G86-H86</f>
        <v>-18457170.020000011</v>
      </c>
      <c r="J86" s="797">
        <f>IF(I86=0,"",I86/H86)</f>
        <v>-0.12476074857652258</v>
      </c>
      <c r="K86" s="749">
        <f t="shared" si="34"/>
        <v>147940520</v>
      </c>
    </row>
    <row r="87" spans="1:11" ht="22.5" x14ac:dyDescent="0.25">
      <c r="A87" s="492" t="s">
        <v>1215</v>
      </c>
      <c r="B87" s="346"/>
      <c r="C87" s="726">
        <v>119383719.62000002</v>
      </c>
      <c r="D87" s="727">
        <v>82519220</v>
      </c>
      <c r="E87" s="728">
        <v>125656220</v>
      </c>
      <c r="F87" s="728">
        <v>17664465.449999999</v>
      </c>
      <c r="G87" s="728">
        <v>126647821.17999999</v>
      </c>
      <c r="H87" s="728">
        <f t="shared" ref="H87:H92" si="35">E87/12*$L$1</f>
        <v>125656220</v>
      </c>
      <c r="I87" s="730">
        <f t="shared" ref="I87:I92" si="36">G87-H87</f>
        <v>991601.17999999225</v>
      </c>
      <c r="J87" s="798">
        <f t="shared" ref="J87:J92" si="37">IF(I87=0,"",I87/H87)</f>
        <v>7.8913815806331937E-3</v>
      </c>
      <c r="K87" s="783">
        <f t="shared" ref="K87:K92" si="38">E87</f>
        <v>125656220</v>
      </c>
    </row>
    <row r="88" spans="1:11" x14ac:dyDescent="0.25">
      <c r="A88" s="492" t="s">
        <v>1216</v>
      </c>
      <c r="B88" s="346"/>
      <c r="C88" s="726">
        <v>0</v>
      </c>
      <c r="D88" s="727">
        <v>0</v>
      </c>
      <c r="E88" s="728">
        <v>0</v>
      </c>
      <c r="F88" s="728">
        <v>0</v>
      </c>
      <c r="G88" s="728">
        <v>0</v>
      </c>
      <c r="H88" s="728">
        <f t="shared" si="35"/>
        <v>0</v>
      </c>
      <c r="I88" s="730">
        <f t="shared" si="36"/>
        <v>0</v>
      </c>
      <c r="J88" s="798" t="str">
        <f t="shared" si="37"/>
        <v/>
      </c>
      <c r="K88" s="783">
        <f t="shared" si="38"/>
        <v>0</v>
      </c>
    </row>
    <row r="89" spans="1:11" x14ac:dyDescent="0.25">
      <c r="A89" s="492" t="s">
        <v>1217</v>
      </c>
      <c r="B89" s="346"/>
      <c r="C89" s="726">
        <v>0</v>
      </c>
      <c r="D89" s="727">
        <v>0</v>
      </c>
      <c r="E89" s="728">
        <v>0</v>
      </c>
      <c r="F89" s="728">
        <v>0</v>
      </c>
      <c r="G89" s="728">
        <v>0</v>
      </c>
      <c r="H89" s="728">
        <f t="shared" si="35"/>
        <v>0</v>
      </c>
      <c r="I89" s="730">
        <f t="shared" si="36"/>
        <v>0</v>
      </c>
      <c r="J89" s="798" t="str">
        <f t="shared" si="37"/>
        <v/>
      </c>
      <c r="K89" s="783">
        <f t="shared" si="38"/>
        <v>0</v>
      </c>
    </row>
    <row r="90" spans="1:11" x14ac:dyDescent="0.25">
      <c r="A90" s="492" t="s">
        <v>1218</v>
      </c>
      <c r="B90" s="346"/>
      <c r="C90" s="726">
        <v>2643640.88</v>
      </c>
      <c r="D90" s="727">
        <v>2918800</v>
      </c>
      <c r="E90" s="728">
        <v>2918800</v>
      </c>
      <c r="F90" s="728">
        <v>354976.63</v>
      </c>
      <c r="G90" s="728">
        <v>2448780.96</v>
      </c>
      <c r="H90" s="728">
        <f t="shared" si="35"/>
        <v>2918800</v>
      </c>
      <c r="I90" s="730">
        <f t="shared" si="36"/>
        <v>-470019.04000000004</v>
      </c>
      <c r="J90" s="798">
        <f t="shared" si="37"/>
        <v>-0.1610316020282308</v>
      </c>
      <c r="K90" s="783">
        <f t="shared" si="38"/>
        <v>2918800</v>
      </c>
    </row>
    <row r="91" spans="1:11" x14ac:dyDescent="0.25">
      <c r="A91" s="492" t="s">
        <v>172</v>
      </c>
      <c r="B91" s="346"/>
      <c r="C91" s="726">
        <v>20914732.009999998</v>
      </c>
      <c r="D91" s="727">
        <v>19365500</v>
      </c>
      <c r="E91" s="728">
        <v>19365500</v>
      </c>
      <c r="F91" s="728">
        <v>0</v>
      </c>
      <c r="G91" s="728">
        <v>386747.84</v>
      </c>
      <c r="H91" s="728">
        <f t="shared" si="35"/>
        <v>19365500</v>
      </c>
      <c r="I91" s="730">
        <f t="shared" si="36"/>
        <v>-18978752.16</v>
      </c>
      <c r="J91" s="798">
        <f t="shared" si="37"/>
        <v>-0.98002902894322375</v>
      </c>
      <c r="K91" s="783">
        <f t="shared" si="38"/>
        <v>19365500</v>
      </c>
    </row>
    <row r="92" spans="1:11" x14ac:dyDescent="0.25">
      <c r="A92" s="492" t="s">
        <v>1219</v>
      </c>
      <c r="B92" s="346"/>
      <c r="C92" s="726">
        <v>0</v>
      </c>
      <c r="D92" s="727">
        <v>0</v>
      </c>
      <c r="E92" s="728">
        <v>0</v>
      </c>
      <c r="F92" s="728">
        <v>0</v>
      </c>
      <c r="G92" s="728">
        <v>0</v>
      </c>
      <c r="H92" s="728">
        <f t="shared" si="35"/>
        <v>0</v>
      </c>
      <c r="I92" s="730">
        <f t="shared" si="36"/>
        <v>0</v>
      </c>
      <c r="J92" s="798" t="str">
        <f t="shared" si="37"/>
        <v/>
      </c>
      <c r="K92" s="783">
        <f t="shared" si="38"/>
        <v>0</v>
      </c>
    </row>
    <row r="93" spans="1:11" x14ac:dyDescent="0.25">
      <c r="A93" s="465" t="s">
        <v>119</v>
      </c>
      <c r="B93" s="346"/>
      <c r="C93" s="733">
        <f>SUM(C94:C99)</f>
        <v>2725143.61</v>
      </c>
      <c r="D93" s="734">
        <f t="shared" ref="D93:K93" si="39">SUM(D94:D99)</f>
        <v>2262247</v>
      </c>
      <c r="E93" s="735">
        <f t="shared" si="39"/>
        <v>2262247</v>
      </c>
      <c r="F93" s="735">
        <f t="shared" si="39"/>
        <v>0</v>
      </c>
      <c r="G93" s="735">
        <f t="shared" si="39"/>
        <v>1083208.23</v>
      </c>
      <c r="H93" s="735">
        <f t="shared" si="39"/>
        <v>2262247</v>
      </c>
      <c r="I93" s="735">
        <f>G93-H93</f>
        <v>-1179038.77</v>
      </c>
      <c r="J93" s="797">
        <f>IF(I93=0,"",I93/H93)</f>
        <v>-0.52118038834839875</v>
      </c>
      <c r="K93" s="749">
        <f t="shared" si="39"/>
        <v>2262247</v>
      </c>
    </row>
    <row r="94" spans="1:11" x14ac:dyDescent="0.25">
      <c r="A94" s="492" t="s">
        <v>1220</v>
      </c>
      <c r="B94" s="346"/>
      <c r="C94" s="726">
        <v>2725143.61</v>
      </c>
      <c r="D94" s="727">
        <v>2262247</v>
      </c>
      <c r="E94" s="728">
        <v>2262247</v>
      </c>
      <c r="F94" s="728">
        <v>0</v>
      </c>
      <c r="G94" s="728">
        <v>1083208.23</v>
      </c>
      <c r="H94" s="728">
        <f t="shared" ref="H94:H99" si="40">E94/12*$L$1</f>
        <v>2262247</v>
      </c>
      <c r="I94" s="730">
        <f t="shared" ref="I94:I99" si="41">G94-H94</f>
        <v>-1179038.77</v>
      </c>
      <c r="J94" s="798">
        <f t="shared" ref="J94:J99" si="42">IF(I94=0,"",I94/H94)</f>
        <v>-0.52118038834839875</v>
      </c>
      <c r="K94" s="783">
        <f t="shared" ref="K94:K99" si="43">E94</f>
        <v>2262247</v>
      </c>
    </row>
    <row r="95" spans="1:11" x14ac:dyDescent="0.25">
      <c r="A95" s="492" t="s">
        <v>1221</v>
      </c>
      <c r="B95" s="346"/>
      <c r="C95" s="726">
        <v>0</v>
      </c>
      <c r="D95" s="727">
        <v>0</v>
      </c>
      <c r="E95" s="728">
        <v>0</v>
      </c>
      <c r="F95" s="728">
        <v>0</v>
      </c>
      <c r="G95" s="728">
        <v>0</v>
      </c>
      <c r="H95" s="728">
        <f t="shared" si="40"/>
        <v>0</v>
      </c>
      <c r="I95" s="730">
        <f t="shared" si="41"/>
        <v>0</v>
      </c>
      <c r="J95" s="798" t="str">
        <f t="shared" si="42"/>
        <v/>
      </c>
      <c r="K95" s="783">
        <f t="shared" si="43"/>
        <v>0</v>
      </c>
    </row>
    <row r="96" spans="1:11" x14ac:dyDescent="0.25">
      <c r="A96" s="492" t="s">
        <v>1222</v>
      </c>
      <c r="B96" s="346"/>
      <c r="C96" s="726">
        <v>0</v>
      </c>
      <c r="D96" s="727">
        <v>0</v>
      </c>
      <c r="E96" s="728">
        <v>0</v>
      </c>
      <c r="F96" s="728">
        <v>0</v>
      </c>
      <c r="G96" s="728">
        <v>0</v>
      </c>
      <c r="H96" s="728">
        <f t="shared" si="40"/>
        <v>0</v>
      </c>
      <c r="I96" s="730">
        <f t="shared" si="41"/>
        <v>0</v>
      </c>
      <c r="J96" s="798" t="str">
        <f t="shared" si="42"/>
        <v/>
      </c>
      <c r="K96" s="783">
        <f t="shared" si="43"/>
        <v>0</v>
      </c>
    </row>
    <row r="97" spans="1:11" x14ac:dyDescent="0.25">
      <c r="A97" s="492" t="s">
        <v>1223</v>
      </c>
      <c r="B97" s="346"/>
      <c r="C97" s="726">
        <v>0</v>
      </c>
      <c r="D97" s="727">
        <v>0</v>
      </c>
      <c r="E97" s="728">
        <v>0</v>
      </c>
      <c r="F97" s="728">
        <v>0</v>
      </c>
      <c r="G97" s="728">
        <v>0</v>
      </c>
      <c r="H97" s="728">
        <f t="shared" si="40"/>
        <v>0</v>
      </c>
      <c r="I97" s="730">
        <f t="shared" si="41"/>
        <v>0</v>
      </c>
      <c r="J97" s="798" t="str">
        <f t="shared" si="42"/>
        <v/>
      </c>
      <c r="K97" s="783">
        <f t="shared" si="43"/>
        <v>0</v>
      </c>
    </row>
    <row r="98" spans="1:11" x14ac:dyDescent="0.25">
      <c r="A98" s="492" t="s">
        <v>173</v>
      </c>
      <c r="B98" s="346"/>
      <c r="C98" s="726">
        <v>0</v>
      </c>
      <c r="D98" s="727">
        <v>0</v>
      </c>
      <c r="E98" s="728">
        <v>0</v>
      </c>
      <c r="F98" s="728">
        <v>0</v>
      </c>
      <c r="G98" s="728">
        <v>0</v>
      </c>
      <c r="H98" s="728">
        <f t="shared" si="40"/>
        <v>0</v>
      </c>
      <c r="I98" s="730">
        <f t="shared" si="41"/>
        <v>0</v>
      </c>
      <c r="J98" s="798" t="str">
        <f t="shared" si="42"/>
        <v/>
      </c>
      <c r="K98" s="783">
        <f t="shared" si="43"/>
        <v>0</v>
      </c>
    </row>
    <row r="99" spans="1:11" x14ac:dyDescent="0.25">
      <c r="A99" s="492" t="s">
        <v>1224</v>
      </c>
      <c r="B99" s="346"/>
      <c r="C99" s="726">
        <v>0</v>
      </c>
      <c r="D99" s="727">
        <v>0</v>
      </c>
      <c r="E99" s="728">
        <v>0</v>
      </c>
      <c r="F99" s="728">
        <v>0</v>
      </c>
      <c r="G99" s="728">
        <v>0</v>
      </c>
      <c r="H99" s="728">
        <f t="shared" si="40"/>
        <v>0</v>
      </c>
      <c r="I99" s="730">
        <f t="shared" si="41"/>
        <v>0</v>
      </c>
      <c r="J99" s="798" t="str">
        <f t="shared" si="42"/>
        <v/>
      </c>
      <c r="K99" s="783">
        <f t="shared" si="43"/>
        <v>0</v>
      </c>
    </row>
    <row r="100" spans="1:11" x14ac:dyDescent="0.25">
      <c r="A100" s="345" t="s">
        <v>120</v>
      </c>
      <c r="B100" s="346"/>
      <c r="C100" s="806">
        <f>C101+C105+C109+C114</f>
        <v>670729697.70000005</v>
      </c>
      <c r="D100" s="810">
        <f t="shared" ref="D100:I100" si="44">D101+D105+D109+D114</f>
        <v>757376017</v>
      </c>
      <c r="E100" s="781">
        <f t="shared" si="44"/>
        <v>762038045</v>
      </c>
      <c r="F100" s="781">
        <f t="shared" si="44"/>
        <v>51017343.490000002</v>
      </c>
      <c r="G100" s="781">
        <f t="shared" si="44"/>
        <v>598148839.50999987</v>
      </c>
      <c r="H100" s="781">
        <f t="shared" si="44"/>
        <v>762038045</v>
      </c>
      <c r="I100" s="781">
        <f t="shared" si="44"/>
        <v>-163889205.4900001</v>
      </c>
      <c r="J100" s="799">
        <f t="shared" ref="J100:J119" si="45">IF(I100=0,"",I100/H100)</f>
        <v>-0.21506695966866077</v>
      </c>
      <c r="K100" s="782">
        <f>K101+K105+K109+K114</f>
        <v>762038045</v>
      </c>
    </row>
    <row r="101" spans="1:11" x14ac:dyDescent="0.25">
      <c r="A101" s="465" t="s">
        <v>1225</v>
      </c>
      <c r="B101" s="346"/>
      <c r="C101" s="733">
        <f>SUM(C102:C104)</f>
        <v>365505735.31999999</v>
      </c>
      <c r="D101" s="734">
        <f t="shared" ref="D101:K101" si="46">SUM(D102:D104)</f>
        <v>421140054</v>
      </c>
      <c r="E101" s="735">
        <f t="shared" si="46"/>
        <v>423817647</v>
      </c>
      <c r="F101" s="735">
        <f t="shared" si="46"/>
        <v>35440612.590000004</v>
      </c>
      <c r="G101" s="735">
        <f t="shared" si="46"/>
        <v>367137400.08999991</v>
      </c>
      <c r="H101" s="735">
        <f t="shared" si="46"/>
        <v>423817647</v>
      </c>
      <c r="I101" s="735">
        <f t="shared" ref="I101:I119" si="47">G101-H101</f>
        <v>-56680246.910000086</v>
      </c>
      <c r="J101" s="797">
        <f t="shared" si="45"/>
        <v>-0.13373734508511412</v>
      </c>
      <c r="K101" s="749">
        <f t="shared" si="46"/>
        <v>423817647</v>
      </c>
    </row>
    <row r="102" spans="1:11" x14ac:dyDescent="0.25">
      <c r="A102" s="492" t="s">
        <v>1226</v>
      </c>
      <c r="B102" s="346"/>
      <c r="C102" s="726">
        <v>364764594.31999999</v>
      </c>
      <c r="D102" s="727">
        <v>421140054</v>
      </c>
      <c r="E102" s="728">
        <v>423817647</v>
      </c>
      <c r="F102" s="728">
        <v>35440612.590000004</v>
      </c>
      <c r="G102" s="728">
        <v>367137400.08999991</v>
      </c>
      <c r="H102" s="728">
        <f>E102/12*$L$1</f>
        <v>423817647</v>
      </c>
      <c r="I102" s="730">
        <f t="shared" si="47"/>
        <v>-56680246.910000086</v>
      </c>
      <c r="J102" s="798">
        <f t="shared" si="45"/>
        <v>-0.13373734508511412</v>
      </c>
      <c r="K102" s="783">
        <f>E102</f>
        <v>423817647</v>
      </c>
    </row>
    <row r="103" spans="1:11" x14ac:dyDescent="0.25">
      <c r="A103" s="492" t="s">
        <v>1227</v>
      </c>
      <c r="B103" s="346"/>
      <c r="C103" s="726">
        <v>741141</v>
      </c>
      <c r="D103" s="727">
        <v>0</v>
      </c>
      <c r="E103" s="728">
        <v>0</v>
      </c>
      <c r="F103" s="728">
        <v>0</v>
      </c>
      <c r="G103" s="728">
        <v>0</v>
      </c>
      <c r="H103" s="728">
        <f>E103/12*$L$1</f>
        <v>0</v>
      </c>
      <c r="I103" s="730">
        <f t="shared" si="47"/>
        <v>0</v>
      </c>
      <c r="J103" s="798" t="str">
        <f t="shared" si="45"/>
        <v/>
      </c>
      <c r="K103" s="783">
        <f>E103</f>
        <v>0</v>
      </c>
    </row>
    <row r="104" spans="1:11" x14ac:dyDescent="0.25">
      <c r="A104" s="492" t="s">
        <v>1228</v>
      </c>
      <c r="B104" s="346"/>
      <c r="C104" s="726">
        <v>0</v>
      </c>
      <c r="D104" s="727">
        <v>0</v>
      </c>
      <c r="E104" s="728">
        <v>0</v>
      </c>
      <c r="F104" s="728">
        <v>0</v>
      </c>
      <c r="G104" s="728">
        <v>0</v>
      </c>
      <c r="H104" s="728">
        <f>E104/12*$L$1</f>
        <v>0</v>
      </c>
      <c r="I104" s="730">
        <f t="shared" si="47"/>
        <v>0</v>
      </c>
      <c r="J104" s="798" t="str">
        <f t="shared" si="45"/>
        <v/>
      </c>
      <c r="K104" s="783">
        <f>E104</f>
        <v>0</v>
      </c>
    </row>
    <row r="105" spans="1:11" x14ac:dyDescent="0.25">
      <c r="A105" s="465" t="s">
        <v>1229</v>
      </c>
      <c r="B105" s="346"/>
      <c r="C105" s="733">
        <f>SUM(C106:C108)</f>
        <v>117794462.63000001</v>
      </c>
      <c r="D105" s="734">
        <f t="shared" ref="D105:K105" si="48">SUM(D106:D108)</f>
        <v>137500730</v>
      </c>
      <c r="E105" s="735">
        <f t="shared" si="48"/>
        <v>137129572</v>
      </c>
      <c r="F105" s="735">
        <f t="shared" si="48"/>
        <v>7090131.0700000003</v>
      </c>
      <c r="G105" s="735">
        <f t="shared" si="48"/>
        <v>81674351.200000003</v>
      </c>
      <c r="H105" s="735">
        <f t="shared" si="48"/>
        <v>137129572</v>
      </c>
      <c r="I105" s="735">
        <f t="shared" si="47"/>
        <v>-55455220.799999997</v>
      </c>
      <c r="J105" s="797">
        <f t="shared" si="45"/>
        <v>-0.40440015958045866</v>
      </c>
      <c r="K105" s="749">
        <f t="shared" si="48"/>
        <v>137129572</v>
      </c>
    </row>
    <row r="106" spans="1:11" x14ac:dyDescent="0.25">
      <c r="A106" s="492" t="s">
        <v>1230</v>
      </c>
      <c r="B106" s="346"/>
      <c r="C106" s="726">
        <v>69625001.360000014</v>
      </c>
      <c r="D106" s="727">
        <v>91131219</v>
      </c>
      <c r="E106" s="728">
        <v>83064665</v>
      </c>
      <c r="F106" s="728">
        <v>7066615.3300000001</v>
      </c>
      <c r="G106" s="728">
        <v>81211730.810000002</v>
      </c>
      <c r="H106" s="728">
        <f>E106/12*$L$1</f>
        <v>83064665</v>
      </c>
      <c r="I106" s="730">
        <f t="shared" si="47"/>
        <v>-1852934.1899999976</v>
      </c>
      <c r="J106" s="798">
        <f t="shared" si="45"/>
        <v>-2.2307128909747575E-2</v>
      </c>
      <c r="K106" s="783">
        <f>E106</f>
        <v>83064665</v>
      </c>
    </row>
    <row r="107" spans="1:11" x14ac:dyDescent="0.25">
      <c r="A107" s="492" t="s">
        <v>174</v>
      </c>
      <c r="B107" s="346"/>
      <c r="C107" s="726">
        <v>48169461.269999996</v>
      </c>
      <c r="D107" s="727">
        <v>46369511</v>
      </c>
      <c r="E107" s="728">
        <v>54064907</v>
      </c>
      <c r="F107" s="728">
        <v>23515.739999999998</v>
      </c>
      <c r="G107" s="728">
        <v>462620.39</v>
      </c>
      <c r="H107" s="728">
        <f>E107/12*$L$1</f>
        <v>54064907</v>
      </c>
      <c r="I107" s="730">
        <f t="shared" si="47"/>
        <v>-53602286.609999999</v>
      </c>
      <c r="J107" s="798">
        <f t="shared" si="45"/>
        <v>-0.99144324080683244</v>
      </c>
      <c r="K107" s="783">
        <f>E107</f>
        <v>54064907</v>
      </c>
    </row>
    <row r="108" spans="1:11" x14ac:dyDescent="0.25">
      <c r="A108" s="492" t="s">
        <v>175</v>
      </c>
      <c r="B108" s="346"/>
      <c r="C108" s="726">
        <v>0</v>
      </c>
      <c r="D108" s="727">
        <v>0</v>
      </c>
      <c r="E108" s="728">
        <v>0</v>
      </c>
      <c r="F108" s="728">
        <v>0</v>
      </c>
      <c r="G108" s="728">
        <v>0</v>
      </c>
      <c r="H108" s="728">
        <f>E108/12*$L$1</f>
        <v>0</v>
      </c>
      <c r="I108" s="730">
        <f t="shared" si="47"/>
        <v>0</v>
      </c>
      <c r="J108" s="798" t="str">
        <f t="shared" si="45"/>
        <v/>
      </c>
      <c r="K108" s="783">
        <f>E108</f>
        <v>0</v>
      </c>
    </row>
    <row r="109" spans="1:11" x14ac:dyDescent="0.25">
      <c r="A109" s="465" t="s">
        <v>121</v>
      </c>
      <c r="B109" s="346"/>
      <c r="C109" s="733">
        <f>SUM(C110:C113)</f>
        <v>135670751.54999998</v>
      </c>
      <c r="D109" s="734">
        <f t="shared" ref="D109:K109" si="49">SUM(D110:D113)</f>
        <v>145058880</v>
      </c>
      <c r="E109" s="735">
        <f t="shared" si="49"/>
        <v>146281641</v>
      </c>
      <c r="F109" s="735">
        <f t="shared" si="49"/>
        <v>5465295.3899999997</v>
      </c>
      <c r="G109" s="735">
        <f t="shared" si="49"/>
        <v>95954853.459999993</v>
      </c>
      <c r="H109" s="735">
        <f t="shared" si="49"/>
        <v>146281641</v>
      </c>
      <c r="I109" s="735">
        <f t="shared" si="47"/>
        <v>-50326787.540000007</v>
      </c>
      <c r="J109" s="797">
        <f t="shared" si="45"/>
        <v>-0.34404035390879983</v>
      </c>
      <c r="K109" s="749">
        <f t="shared" si="49"/>
        <v>146281641</v>
      </c>
    </row>
    <row r="110" spans="1:11" x14ac:dyDescent="0.25">
      <c r="A110" s="492" t="s">
        <v>178</v>
      </c>
      <c r="B110" s="346"/>
      <c r="C110" s="726">
        <v>0</v>
      </c>
      <c r="D110" s="727">
        <v>0</v>
      </c>
      <c r="E110" s="728">
        <v>0</v>
      </c>
      <c r="F110" s="728">
        <v>0</v>
      </c>
      <c r="G110" s="728">
        <v>0</v>
      </c>
      <c r="H110" s="728">
        <f>E110/12*$L$1</f>
        <v>0</v>
      </c>
      <c r="I110" s="730">
        <f t="shared" si="47"/>
        <v>0</v>
      </c>
      <c r="J110" s="798" t="str">
        <f t="shared" si="45"/>
        <v/>
      </c>
      <c r="K110" s="783">
        <f>E110</f>
        <v>0</v>
      </c>
    </row>
    <row r="111" spans="1:11" x14ac:dyDescent="0.25">
      <c r="A111" s="492" t="s">
        <v>176</v>
      </c>
      <c r="B111" s="346"/>
      <c r="C111" s="726">
        <v>25167226.260000002</v>
      </c>
      <c r="D111" s="727">
        <v>29173800</v>
      </c>
      <c r="E111" s="728">
        <v>29173800</v>
      </c>
      <c r="F111" s="728">
        <v>24860.76</v>
      </c>
      <c r="G111" s="728">
        <v>281961.77</v>
      </c>
      <c r="H111" s="728">
        <f>E111/12*$L$1</f>
        <v>29173800</v>
      </c>
      <c r="I111" s="730">
        <f t="shared" si="47"/>
        <v>-28891838.23</v>
      </c>
      <c r="J111" s="798">
        <f t="shared" si="45"/>
        <v>-0.9903351030719344</v>
      </c>
      <c r="K111" s="783">
        <f>E111</f>
        <v>29173800</v>
      </c>
    </row>
    <row r="112" spans="1:11" x14ac:dyDescent="0.25">
      <c r="A112" s="492" t="s">
        <v>177</v>
      </c>
      <c r="B112" s="346"/>
      <c r="C112" s="726">
        <v>19379033.699999999</v>
      </c>
      <c r="D112" s="727">
        <v>18820000</v>
      </c>
      <c r="E112" s="728">
        <v>18820000</v>
      </c>
      <c r="F112" s="728">
        <v>0</v>
      </c>
      <c r="G112" s="728">
        <v>0</v>
      </c>
      <c r="H112" s="728">
        <f>E112/12*$L$1</f>
        <v>18820000</v>
      </c>
      <c r="I112" s="730">
        <f t="shared" si="47"/>
        <v>-18820000</v>
      </c>
      <c r="J112" s="798">
        <f t="shared" si="45"/>
        <v>-1</v>
      </c>
      <c r="K112" s="783">
        <f>E112</f>
        <v>18820000</v>
      </c>
    </row>
    <row r="113" spans="1:11" x14ac:dyDescent="0.25">
      <c r="A113" s="492" t="s">
        <v>1231</v>
      </c>
      <c r="B113" s="346"/>
      <c r="C113" s="726">
        <v>91124491.589999989</v>
      </c>
      <c r="D113" s="727">
        <v>97065080</v>
      </c>
      <c r="E113" s="728">
        <v>98287841</v>
      </c>
      <c r="F113" s="728">
        <v>5440434.6299999999</v>
      </c>
      <c r="G113" s="728">
        <v>95672891.689999998</v>
      </c>
      <c r="H113" s="728">
        <f>E113/12*$L$1</f>
        <v>98287841</v>
      </c>
      <c r="I113" s="730">
        <f t="shared" si="47"/>
        <v>-2614949.3100000024</v>
      </c>
      <c r="J113" s="798">
        <f t="shared" si="45"/>
        <v>-2.6605013228441984E-2</v>
      </c>
      <c r="K113" s="783">
        <f>E113</f>
        <v>98287841</v>
      </c>
    </row>
    <row r="114" spans="1:11" x14ac:dyDescent="0.25">
      <c r="A114" s="465" t="s">
        <v>122</v>
      </c>
      <c r="B114" s="346"/>
      <c r="C114" s="733">
        <f t="shared" ref="C114:H114" si="50">SUM(C115:C118)</f>
        <v>51758748.200000003</v>
      </c>
      <c r="D114" s="734">
        <f t="shared" si="50"/>
        <v>53676353</v>
      </c>
      <c r="E114" s="735">
        <f t="shared" si="50"/>
        <v>54809185</v>
      </c>
      <c r="F114" s="735">
        <f t="shared" si="50"/>
        <v>3021304.4400000004</v>
      </c>
      <c r="G114" s="735">
        <f t="shared" si="50"/>
        <v>53382234.759999998</v>
      </c>
      <c r="H114" s="735">
        <f t="shared" si="50"/>
        <v>54809185</v>
      </c>
      <c r="I114" s="735">
        <f t="shared" si="47"/>
        <v>-1426950.2400000021</v>
      </c>
      <c r="J114" s="797">
        <f t="shared" si="45"/>
        <v>-2.603487426423148E-2</v>
      </c>
      <c r="K114" s="749">
        <f>SUM(K115:K118)</f>
        <v>54809185</v>
      </c>
    </row>
    <row r="115" spans="1:11" x14ac:dyDescent="0.25">
      <c r="A115" s="492" t="s">
        <v>1232</v>
      </c>
      <c r="B115" s="346"/>
      <c r="C115" s="726">
        <v>0</v>
      </c>
      <c r="D115" s="727">
        <v>0</v>
      </c>
      <c r="E115" s="728">
        <v>0</v>
      </c>
      <c r="F115" s="728">
        <v>0</v>
      </c>
      <c r="G115" s="728">
        <v>0</v>
      </c>
      <c r="H115" s="728">
        <f>E115/12*$L$1</f>
        <v>0</v>
      </c>
      <c r="I115" s="730">
        <f t="shared" si="47"/>
        <v>0</v>
      </c>
      <c r="J115" s="798" t="str">
        <f t="shared" si="45"/>
        <v/>
      </c>
      <c r="K115" s="783">
        <f>E115</f>
        <v>0</v>
      </c>
    </row>
    <row r="116" spans="1:11" x14ac:dyDescent="0.25">
      <c r="A116" s="492" t="s">
        <v>1233</v>
      </c>
      <c r="B116" s="346"/>
      <c r="C116" s="726">
        <v>0</v>
      </c>
      <c r="D116" s="727">
        <v>0</v>
      </c>
      <c r="E116" s="728">
        <v>0</v>
      </c>
      <c r="F116" s="728">
        <v>0</v>
      </c>
      <c r="G116" s="728">
        <v>0</v>
      </c>
      <c r="H116" s="728">
        <f>E116/12*$L$1</f>
        <v>0</v>
      </c>
      <c r="I116" s="730">
        <f t="shared" si="47"/>
        <v>0</v>
      </c>
      <c r="J116" s="798" t="str">
        <f t="shared" si="45"/>
        <v/>
      </c>
      <c r="K116" s="783">
        <f>E116</f>
        <v>0</v>
      </c>
    </row>
    <row r="117" spans="1:11" x14ac:dyDescent="0.25">
      <c r="A117" s="492" t="s">
        <v>1234</v>
      </c>
      <c r="B117" s="346"/>
      <c r="C117" s="726">
        <v>51758748.200000003</v>
      </c>
      <c r="D117" s="727">
        <v>53676353</v>
      </c>
      <c r="E117" s="728">
        <v>54809185</v>
      </c>
      <c r="F117" s="728">
        <v>3021304.4400000004</v>
      </c>
      <c r="G117" s="728">
        <v>53382234.759999998</v>
      </c>
      <c r="H117" s="728">
        <f>E117/12*$L$1</f>
        <v>54809185</v>
      </c>
      <c r="I117" s="730">
        <f t="shared" si="47"/>
        <v>-1426950.2400000021</v>
      </c>
      <c r="J117" s="798">
        <f t="shared" si="45"/>
        <v>-2.603487426423148E-2</v>
      </c>
      <c r="K117" s="783">
        <f>E117</f>
        <v>54809185</v>
      </c>
    </row>
    <row r="118" spans="1:11" x14ac:dyDescent="0.25">
      <c r="A118" s="492" t="s">
        <v>1235</v>
      </c>
      <c r="B118" s="346"/>
      <c r="C118" s="726">
        <v>0</v>
      </c>
      <c r="D118" s="727">
        <v>0</v>
      </c>
      <c r="E118" s="728">
        <v>0</v>
      </c>
      <c r="F118" s="728">
        <v>0</v>
      </c>
      <c r="G118" s="728">
        <v>0</v>
      </c>
      <c r="H118" s="728">
        <f>E118/12*$L$1</f>
        <v>0</v>
      </c>
      <c r="I118" s="730">
        <f t="shared" si="47"/>
        <v>0</v>
      </c>
      <c r="J118" s="798" t="str">
        <f t="shared" si="45"/>
        <v/>
      </c>
      <c r="K118" s="783">
        <f>E118</f>
        <v>0</v>
      </c>
    </row>
    <row r="119" spans="1:11" x14ac:dyDescent="0.25">
      <c r="A119" s="345" t="s">
        <v>731</v>
      </c>
      <c r="B119" s="346"/>
      <c r="C119" s="733">
        <f>SUM(C120:C125)</f>
        <v>0</v>
      </c>
      <c r="D119" s="734">
        <f t="shared" ref="D119:K119" si="51">SUM(D120:D125)</f>
        <v>0</v>
      </c>
      <c r="E119" s="735">
        <f t="shared" si="51"/>
        <v>0</v>
      </c>
      <c r="F119" s="735">
        <f t="shared" si="51"/>
        <v>0</v>
      </c>
      <c r="G119" s="735">
        <f t="shared" si="51"/>
        <v>0</v>
      </c>
      <c r="H119" s="735">
        <f t="shared" si="51"/>
        <v>0</v>
      </c>
      <c r="I119" s="735">
        <f t="shared" si="47"/>
        <v>0</v>
      </c>
      <c r="J119" s="797" t="str">
        <f t="shared" si="45"/>
        <v/>
      </c>
      <c r="K119" s="749">
        <f t="shared" si="51"/>
        <v>0</v>
      </c>
    </row>
    <row r="120" spans="1:11" x14ac:dyDescent="0.25">
      <c r="A120" s="465" t="s">
        <v>447</v>
      </c>
      <c r="B120" s="346"/>
      <c r="C120" s="726">
        <v>0</v>
      </c>
      <c r="D120" s="727">
        <v>0</v>
      </c>
      <c r="E120" s="728">
        <v>0</v>
      </c>
      <c r="F120" s="728">
        <v>0</v>
      </c>
      <c r="G120" s="728">
        <v>0</v>
      </c>
      <c r="H120" s="728">
        <f t="shared" ref="H120:H125" si="52">E120/12*$L$1</f>
        <v>0</v>
      </c>
      <c r="I120" s="730">
        <f t="shared" ref="I120:I125" si="53">G120-H120</f>
        <v>0</v>
      </c>
      <c r="J120" s="798" t="str">
        <f t="shared" ref="J120:J125" si="54">IF(I120=0,"",I120/H120)</f>
        <v/>
      </c>
      <c r="K120" s="783">
        <f t="shared" ref="K120:K125" si="55">E120</f>
        <v>0</v>
      </c>
    </row>
    <row r="121" spans="1:11" x14ac:dyDescent="0.25">
      <c r="A121" s="465" t="s">
        <v>179</v>
      </c>
      <c r="B121" s="346"/>
      <c r="C121" s="726">
        <v>0</v>
      </c>
      <c r="D121" s="727">
        <v>0</v>
      </c>
      <c r="E121" s="728">
        <v>0</v>
      </c>
      <c r="F121" s="728">
        <v>0</v>
      </c>
      <c r="G121" s="728">
        <v>0</v>
      </c>
      <c r="H121" s="728">
        <f t="shared" si="52"/>
        <v>0</v>
      </c>
      <c r="I121" s="730">
        <f t="shared" si="53"/>
        <v>0</v>
      </c>
      <c r="J121" s="798" t="str">
        <f t="shared" si="54"/>
        <v/>
      </c>
      <c r="K121" s="783">
        <f t="shared" si="55"/>
        <v>0</v>
      </c>
    </row>
    <row r="122" spans="1:11" x14ac:dyDescent="0.25">
      <c r="A122" s="465" t="s">
        <v>1236</v>
      </c>
      <c r="B122" s="346"/>
      <c r="C122" s="726">
        <v>0</v>
      </c>
      <c r="D122" s="727">
        <v>0</v>
      </c>
      <c r="E122" s="728">
        <v>0</v>
      </c>
      <c r="F122" s="728">
        <v>0</v>
      </c>
      <c r="G122" s="728">
        <v>0</v>
      </c>
      <c r="H122" s="728">
        <f t="shared" si="52"/>
        <v>0</v>
      </c>
      <c r="I122" s="730">
        <f t="shared" si="53"/>
        <v>0</v>
      </c>
      <c r="J122" s="798" t="str">
        <f t="shared" si="54"/>
        <v/>
      </c>
      <c r="K122" s="783">
        <f t="shared" si="55"/>
        <v>0</v>
      </c>
    </row>
    <row r="123" spans="1:11" x14ac:dyDescent="0.25">
      <c r="A123" s="465" t="s">
        <v>1237</v>
      </c>
      <c r="B123" s="346"/>
      <c r="C123" s="726">
        <v>0</v>
      </c>
      <c r="D123" s="727">
        <v>0</v>
      </c>
      <c r="E123" s="728">
        <v>0</v>
      </c>
      <c r="F123" s="728">
        <v>0</v>
      </c>
      <c r="G123" s="728">
        <v>0</v>
      </c>
      <c r="H123" s="728">
        <f t="shared" si="52"/>
        <v>0</v>
      </c>
      <c r="I123" s="730">
        <f t="shared" si="53"/>
        <v>0</v>
      </c>
      <c r="J123" s="798" t="str">
        <f t="shared" si="54"/>
        <v/>
      </c>
      <c r="K123" s="783">
        <f t="shared" si="55"/>
        <v>0</v>
      </c>
    </row>
    <row r="124" spans="1:11" x14ac:dyDescent="0.25">
      <c r="A124" s="465" t="s">
        <v>448</v>
      </c>
      <c r="B124" s="346"/>
      <c r="C124" s="726">
        <v>0</v>
      </c>
      <c r="D124" s="727">
        <v>0</v>
      </c>
      <c r="E124" s="728">
        <v>0</v>
      </c>
      <c r="F124" s="728">
        <v>0</v>
      </c>
      <c r="G124" s="728">
        <v>0</v>
      </c>
      <c r="H124" s="728">
        <f t="shared" si="52"/>
        <v>0</v>
      </c>
      <c r="I124" s="730">
        <f t="shared" si="53"/>
        <v>0</v>
      </c>
      <c r="J124" s="798" t="str">
        <f t="shared" si="54"/>
        <v/>
      </c>
      <c r="K124" s="783">
        <f t="shared" si="55"/>
        <v>0</v>
      </c>
    </row>
    <row r="125" spans="1:11" x14ac:dyDescent="0.25">
      <c r="A125" s="465" t="s">
        <v>180</v>
      </c>
      <c r="B125" s="346"/>
      <c r="C125" s="726">
        <v>0</v>
      </c>
      <c r="D125" s="727">
        <v>0</v>
      </c>
      <c r="E125" s="728">
        <v>0</v>
      </c>
      <c r="F125" s="728">
        <v>0</v>
      </c>
      <c r="G125" s="728">
        <v>0</v>
      </c>
      <c r="H125" s="728">
        <f t="shared" si="52"/>
        <v>0</v>
      </c>
      <c r="I125" s="730">
        <f t="shared" si="53"/>
        <v>0</v>
      </c>
      <c r="J125" s="798" t="str">
        <f t="shared" si="54"/>
        <v/>
      </c>
      <c r="K125" s="783">
        <f t="shared" si="55"/>
        <v>0</v>
      </c>
    </row>
    <row r="126" spans="1:11" x14ac:dyDescent="0.25">
      <c r="A126" s="77" t="str">
        <f>"Total "&amp;A5</f>
        <v>Total Revenue - Functional</v>
      </c>
      <c r="B126" s="346">
        <v>2</v>
      </c>
      <c r="C126" s="733">
        <f t="shared" ref="C126:H126" si="56">C6+C27+C74+C100+C119</f>
        <v>1059522696.71</v>
      </c>
      <c r="D126" s="734">
        <f t="shared" si="56"/>
        <v>1135219047</v>
      </c>
      <c r="E126" s="735">
        <f t="shared" si="56"/>
        <v>1177436445</v>
      </c>
      <c r="F126" s="735">
        <f t="shared" si="56"/>
        <v>81176307.640000001</v>
      </c>
      <c r="G126" s="735">
        <f t="shared" si="56"/>
        <v>962534729.48999989</v>
      </c>
      <c r="H126" s="735">
        <f t="shared" si="56"/>
        <v>1177436445</v>
      </c>
      <c r="I126" s="735">
        <f>G126-H126</f>
        <v>-214901715.51000011</v>
      </c>
      <c r="J126" s="797">
        <f>IF(I126=0,"",I126/H126)</f>
        <v>-0.18251661601149105</v>
      </c>
      <c r="K126" s="749">
        <f>K6+K27+K74+K100+K119</f>
        <v>1177436445</v>
      </c>
    </row>
    <row r="127" spans="1:11" x14ac:dyDescent="0.25">
      <c r="A127" s="39"/>
      <c r="B127" s="346"/>
      <c r="C127" s="807"/>
      <c r="D127" s="811"/>
      <c r="E127" s="730"/>
      <c r="F127" s="730"/>
      <c r="G127" s="730"/>
      <c r="H127" s="730"/>
      <c r="I127" s="730"/>
      <c r="J127" s="798"/>
      <c r="K127" s="784"/>
    </row>
    <row r="128" spans="1:11" x14ac:dyDescent="0.25">
      <c r="A128" s="32" t="s">
        <v>1238</v>
      </c>
      <c r="B128" s="354"/>
      <c r="C128" s="807"/>
      <c r="D128" s="811"/>
      <c r="E128" s="730"/>
      <c r="F128" s="730"/>
      <c r="G128" s="730"/>
      <c r="H128" s="730"/>
      <c r="I128" s="730"/>
      <c r="J128" s="798"/>
      <c r="K128" s="784"/>
    </row>
    <row r="129" spans="1:11" x14ac:dyDescent="0.25">
      <c r="A129" s="345" t="str">
        <f>A6</f>
        <v>Municipal governance and administration</v>
      </c>
      <c r="B129" s="354"/>
      <c r="C129" s="806">
        <f t="shared" ref="C129:K129" si="57">C130+C133+C148</f>
        <v>183028349.39000002</v>
      </c>
      <c r="D129" s="810">
        <f t="shared" si="57"/>
        <v>218261099</v>
      </c>
      <c r="E129" s="781">
        <f t="shared" si="57"/>
        <v>203581778</v>
      </c>
      <c r="F129" s="781">
        <f t="shared" si="57"/>
        <v>18136984.120000005</v>
      </c>
      <c r="G129" s="781">
        <f t="shared" si="57"/>
        <v>180834685.34</v>
      </c>
      <c r="H129" s="781">
        <f t="shared" si="57"/>
        <v>203581778</v>
      </c>
      <c r="I129" s="781">
        <f t="shared" ref="I129:I246" si="58">G129-H129</f>
        <v>-22747092.659999996</v>
      </c>
      <c r="J129" s="799">
        <f t="shared" ref="J129:J246" si="59">IF(I129=0,"",I129/H129)</f>
        <v>-0.11173442379504121</v>
      </c>
      <c r="K129" s="782">
        <f t="shared" si="57"/>
        <v>203581778</v>
      </c>
    </row>
    <row r="130" spans="1:11" x14ac:dyDescent="0.25">
      <c r="A130" s="465" t="str">
        <f>A7</f>
        <v>Executive and council</v>
      </c>
      <c r="B130" s="354"/>
      <c r="C130" s="733">
        <f t="shared" ref="C130:K130" si="60">SUM(C131:C132)</f>
        <v>38718393.820000008</v>
      </c>
      <c r="D130" s="734">
        <f t="shared" si="60"/>
        <v>37559672</v>
      </c>
      <c r="E130" s="735">
        <f t="shared" si="60"/>
        <v>37032030</v>
      </c>
      <c r="F130" s="735">
        <f t="shared" si="60"/>
        <v>2698291.78</v>
      </c>
      <c r="G130" s="735">
        <f t="shared" si="60"/>
        <v>31346261.250000004</v>
      </c>
      <c r="H130" s="735">
        <f t="shared" si="60"/>
        <v>37032030</v>
      </c>
      <c r="I130" s="735">
        <f t="shared" si="58"/>
        <v>-5685768.7499999963</v>
      </c>
      <c r="J130" s="797">
        <f t="shared" si="59"/>
        <v>-0.15353651285117226</v>
      </c>
      <c r="K130" s="749">
        <f t="shared" si="60"/>
        <v>37032030</v>
      </c>
    </row>
    <row r="131" spans="1:11" x14ac:dyDescent="0.25">
      <c r="A131" s="492" t="str">
        <f>A8</f>
        <v>Mayor and Council</v>
      </c>
      <c r="B131" s="354"/>
      <c r="C131" s="726">
        <v>35134728.300000004</v>
      </c>
      <c r="D131" s="727">
        <v>34745215</v>
      </c>
      <c r="E131" s="728">
        <v>33192346</v>
      </c>
      <c r="F131" s="728">
        <v>2450967.19</v>
      </c>
      <c r="G131" s="728">
        <v>28604754.020000003</v>
      </c>
      <c r="H131" s="728">
        <f>E131/12*$L$1</f>
        <v>33192346</v>
      </c>
      <c r="I131" s="730">
        <f t="shared" si="58"/>
        <v>-4587591.9799999967</v>
      </c>
      <c r="J131" s="798">
        <f t="shared" si="59"/>
        <v>-0.13821234509907787</v>
      </c>
      <c r="K131" s="783">
        <f>E131</f>
        <v>33192346</v>
      </c>
    </row>
    <row r="132" spans="1:11" ht="18.600000000000001" customHeight="1" x14ac:dyDescent="0.25">
      <c r="A132" s="492" t="str">
        <f>A9</f>
        <v>Municipal Manager, Town Secretary and Chief Executive</v>
      </c>
      <c r="B132" s="354"/>
      <c r="C132" s="726">
        <v>3583665.52</v>
      </c>
      <c r="D132" s="727">
        <v>2814457</v>
      </c>
      <c r="E132" s="728">
        <v>3839684</v>
      </c>
      <c r="F132" s="728">
        <v>247324.59</v>
      </c>
      <c r="G132" s="728">
        <v>2741507.2299999995</v>
      </c>
      <c r="H132" s="728">
        <f>E132/12*$L$1</f>
        <v>3839684</v>
      </c>
      <c r="I132" s="730">
        <f t="shared" si="58"/>
        <v>-1098176.7700000005</v>
      </c>
      <c r="J132" s="798">
        <f t="shared" si="59"/>
        <v>-0.28600706985262342</v>
      </c>
      <c r="K132" s="783">
        <f>E132</f>
        <v>3839684</v>
      </c>
    </row>
    <row r="133" spans="1:11" x14ac:dyDescent="0.25">
      <c r="A133" s="465" t="str">
        <f>A10</f>
        <v>Finance and administration</v>
      </c>
      <c r="B133" s="354"/>
      <c r="C133" s="733">
        <f t="shared" ref="C133:H133" si="61">SUM(C134:C147)</f>
        <v>141632485.41999999</v>
      </c>
      <c r="D133" s="734">
        <f t="shared" si="61"/>
        <v>176910080</v>
      </c>
      <c r="E133" s="735">
        <f t="shared" si="61"/>
        <v>163489601</v>
      </c>
      <c r="F133" s="735">
        <f t="shared" si="61"/>
        <v>15158857.480000004</v>
      </c>
      <c r="G133" s="735">
        <f t="shared" si="61"/>
        <v>146471624.86000001</v>
      </c>
      <c r="H133" s="735">
        <f t="shared" si="61"/>
        <v>163489601</v>
      </c>
      <c r="I133" s="735">
        <f t="shared" si="58"/>
        <v>-17017976.139999986</v>
      </c>
      <c r="J133" s="797">
        <f t="shared" si="59"/>
        <v>-0.10409210149090758</v>
      </c>
      <c r="K133" s="749">
        <f>SUM(K134:K147)</f>
        <v>163489601</v>
      </c>
    </row>
    <row r="134" spans="1:11" x14ac:dyDescent="0.25">
      <c r="A134" s="492" t="str">
        <f t="shared" ref="A134:A147" si="62">A11</f>
        <v>Administrative and Corporate Support</v>
      </c>
      <c r="B134" s="346"/>
      <c r="C134" s="726">
        <v>35541622.899999984</v>
      </c>
      <c r="D134" s="727">
        <v>42652111</v>
      </c>
      <c r="E134" s="728">
        <v>42845548</v>
      </c>
      <c r="F134" s="728">
        <v>3443293.9100000006</v>
      </c>
      <c r="G134" s="728">
        <v>35192409.510000005</v>
      </c>
      <c r="H134" s="728">
        <f t="shared" ref="H134:H147" si="63">E134/12*$L$1</f>
        <v>42845548</v>
      </c>
      <c r="I134" s="730">
        <f t="shared" si="58"/>
        <v>-7653138.4899999946</v>
      </c>
      <c r="J134" s="798">
        <f t="shared" si="59"/>
        <v>-0.17862155690014736</v>
      </c>
      <c r="K134" s="783">
        <f t="shared" ref="K134:K147" si="64">E134</f>
        <v>42845548</v>
      </c>
    </row>
    <row r="135" spans="1:11" x14ac:dyDescent="0.25">
      <c r="A135" s="492" t="str">
        <f t="shared" si="62"/>
        <v>Asset Management</v>
      </c>
      <c r="B135" s="346"/>
      <c r="C135" s="726">
        <v>2121540.4699999997</v>
      </c>
      <c r="D135" s="727">
        <v>3042834</v>
      </c>
      <c r="E135" s="728">
        <v>2770959</v>
      </c>
      <c r="F135" s="728">
        <v>223451.36000000002</v>
      </c>
      <c r="G135" s="728">
        <v>2517074.2899999996</v>
      </c>
      <c r="H135" s="728">
        <f t="shared" si="63"/>
        <v>2770959</v>
      </c>
      <c r="I135" s="730">
        <f t="shared" si="58"/>
        <v>-253884.71000000043</v>
      </c>
      <c r="J135" s="798">
        <f t="shared" si="59"/>
        <v>-9.1623409079672577E-2</v>
      </c>
      <c r="K135" s="783">
        <f t="shared" si="64"/>
        <v>2770959</v>
      </c>
    </row>
    <row r="136" spans="1:11" x14ac:dyDescent="0.25">
      <c r="A136" s="492" t="str">
        <f t="shared" si="62"/>
        <v>Budget and Treasury Office</v>
      </c>
      <c r="B136" s="346"/>
      <c r="C136" s="726">
        <v>0</v>
      </c>
      <c r="D136" s="727">
        <v>0</v>
      </c>
      <c r="E136" s="728">
        <v>0</v>
      </c>
      <c r="F136" s="728">
        <v>0</v>
      </c>
      <c r="G136" s="728">
        <v>0</v>
      </c>
      <c r="H136" s="728">
        <f t="shared" si="63"/>
        <v>0</v>
      </c>
      <c r="I136" s="730">
        <f t="shared" si="58"/>
        <v>0</v>
      </c>
      <c r="J136" s="798" t="str">
        <f t="shared" si="59"/>
        <v/>
      </c>
      <c r="K136" s="783">
        <f t="shared" si="64"/>
        <v>0</v>
      </c>
    </row>
    <row r="137" spans="1:11" x14ac:dyDescent="0.25">
      <c r="A137" s="492" t="str">
        <f t="shared" si="62"/>
        <v>Finance</v>
      </c>
      <c r="B137" s="346"/>
      <c r="C137" s="726">
        <v>31030034.350000001</v>
      </c>
      <c r="D137" s="727">
        <v>38115085</v>
      </c>
      <c r="E137" s="728">
        <v>37109170</v>
      </c>
      <c r="F137" s="728">
        <v>2962473.4200000023</v>
      </c>
      <c r="G137" s="728">
        <v>33105587.559999995</v>
      </c>
      <c r="H137" s="728">
        <f t="shared" si="63"/>
        <v>37109170</v>
      </c>
      <c r="I137" s="730">
        <f t="shared" si="58"/>
        <v>-4003582.4400000051</v>
      </c>
      <c r="J137" s="798">
        <f t="shared" si="59"/>
        <v>-0.10788660700306703</v>
      </c>
      <c r="K137" s="783">
        <f t="shared" si="64"/>
        <v>37109170</v>
      </c>
    </row>
    <row r="138" spans="1:11" x14ac:dyDescent="0.25">
      <c r="A138" s="492" t="str">
        <f t="shared" si="62"/>
        <v>Fleet Management</v>
      </c>
      <c r="B138" s="346"/>
      <c r="C138" s="726">
        <v>18293511.400000002</v>
      </c>
      <c r="D138" s="727">
        <v>20539726</v>
      </c>
      <c r="E138" s="728">
        <v>19664029</v>
      </c>
      <c r="F138" s="728">
        <v>3350550.32</v>
      </c>
      <c r="G138" s="728">
        <v>22352101.870000001</v>
      </c>
      <c r="H138" s="728">
        <f t="shared" si="63"/>
        <v>19664029</v>
      </c>
      <c r="I138" s="730">
        <f t="shared" si="58"/>
        <v>2688072.870000001</v>
      </c>
      <c r="J138" s="798">
        <f t="shared" si="59"/>
        <v>0.13670000537529725</v>
      </c>
      <c r="K138" s="783">
        <f t="shared" si="64"/>
        <v>19664029</v>
      </c>
    </row>
    <row r="139" spans="1:11" x14ac:dyDescent="0.25">
      <c r="A139" s="492" t="str">
        <f t="shared" si="62"/>
        <v>Human Resources</v>
      </c>
      <c r="B139" s="346"/>
      <c r="C139" s="726">
        <v>10699448.43</v>
      </c>
      <c r="D139" s="727">
        <v>9825705</v>
      </c>
      <c r="E139" s="728">
        <v>12224653</v>
      </c>
      <c r="F139" s="728">
        <v>1139821.07</v>
      </c>
      <c r="G139" s="728">
        <v>12677137.079999998</v>
      </c>
      <c r="H139" s="728">
        <f t="shared" si="63"/>
        <v>12224653</v>
      </c>
      <c r="I139" s="730">
        <f t="shared" si="58"/>
        <v>452484.07999999821</v>
      </c>
      <c r="J139" s="798">
        <f t="shared" si="59"/>
        <v>3.7014063303064573E-2</v>
      </c>
      <c r="K139" s="783">
        <f t="shared" si="64"/>
        <v>12224653</v>
      </c>
    </row>
    <row r="140" spans="1:11" x14ac:dyDescent="0.25">
      <c r="A140" s="492" t="str">
        <f t="shared" si="62"/>
        <v>Information Technology</v>
      </c>
      <c r="B140" s="346"/>
      <c r="C140" s="726">
        <v>8398453.2400000002</v>
      </c>
      <c r="D140" s="727">
        <v>10795565</v>
      </c>
      <c r="E140" s="728">
        <v>9561636</v>
      </c>
      <c r="F140" s="728">
        <v>969692.33999999985</v>
      </c>
      <c r="G140" s="728">
        <v>9034271.589999998</v>
      </c>
      <c r="H140" s="728">
        <f t="shared" si="63"/>
        <v>9561636</v>
      </c>
      <c r="I140" s="730">
        <f t="shared" si="58"/>
        <v>-527364.41000000201</v>
      </c>
      <c r="J140" s="798">
        <f t="shared" si="59"/>
        <v>-5.5154202690836797E-2</v>
      </c>
      <c r="K140" s="783">
        <f t="shared" si="64"/>
        <v>9561636</v>
      </c>
    </row>
    <row r="141" spans="1:11" x14ac:dyDescent="0.25">
      <c r="A141" s="492" t="str">
        <f t="shared" si="62"/>
        <v>Legal Services</v>
      </c>
      <c r="B141" s="346"/>
      <c r="C141" s="726">
        <v>3792392.47</v>
      </c>
      <c r="D141" s="727">
        <v>3985795</v>
      </c>
      <c r="E141" s="728">
        <v>3476964</v>
      </c>
      <c r="F141" s="728">
        <v>140141.39000000001</v>
      </c>
      <c r="G141" s="728">
        <v>2793332.83</v>
      </c>
      <c r="H141" s="728">
        <f t="shared" si="63"/>
        <v>3476964</v>
      </c>
      <c r="I141" s="730">
        <f t="shared" si="58"/>
        <v>-683631.16999999993</v>
      </c>
      <c r="J141" s="798">
        <f t="shared" si="59"/>
        <v>-0.19661727012416577</v>
      </c>
      <c r="K141" s="783">
        <f t="shared" si="64"/>
        <v>3476964</v>
      </c>
    </row>
    <row r="142" spans="1:11" ht="22.5" x14ac:dyDescent="0.25">
      <c r="A142" s="492" t="str">
        <f t="shared" si="62"/>
        <v>Marketing, Customer Relations, Publicity and Media Co-ordination</v>
      </c>
      <c r="B142" s="346"/>
      <c r="C142" s="726">
        <v>4677718.9700000007</v>
      </c>
      <c r="D142" s="727">
        <v>6146675</v>
      </c>
      <c r="E142" s="728">
        <v>5163705</v>
      </c>
      <c r="F142" s="728">
        <v>442912.27999999991</v>
      </c>
      <c r="G142" s="728">
        <v>5517184.5800000001</v>
      </c>
      <c r="H142" s="728">
        <f t="shared" si="63"/>
        <v>5163705</v>
      </c>
      <c r="I142" s="730">
        <f t="shared" si="58"/>
        <v>353479.58000000007</v>
      </c>
      <c r="J142" s="798">
        <f t="shared" si="59"/>
        <v>6.8454642548325298E-2</v>
      </c>
      <c r="K142" s="783">
        <f t="shared" si="64"/>
        <v>5163705</v>
      </c>
    </row>
    <row r="143" spans="1:11" x14ac:dyDescent="0.25">
      <c r="A143" s="492" t="str">
        <f t="shared" si="62"/>
        <v>Property Services</v>
      </c>
      <c r="B143" s="346"/>
      <c r="C143" s="726">
        <v>0</v>
      </c>
      <c r="D143" s="727">
        <v>0</v>
      </c>
      <c r="E143" s="728">
        <v>0</v>
      </c>
      <c r="F143" s="728">
        <v>0</v>
      </c>
      <c r="G143" s="728">
        <v>0</v>
      </c>
      <c r="H143" s="728">
        <f t="shared" si="63"/>
        <v>0</v>
      </c>
      <c r="I143" s="730">
        <f t="shared" si="58"/>
        <v>0</v>
      </c>
      <c r="J143" s="798" t="str">
        <f t="shared" si="59"/>
        <v/>
      </c>
      <c r="K143" s="783">
        <f t="shared" si="64"/>
        <v>0</v>
      </c>
    </row>
    <row r="144" spans="1:11" x14ac:dyDescent="0.25">
      <c r="A144" s="492" t="str">
        <f t="shared" si="62"/>
        <v>Risk Management</v>
      </c>
      <c r="B144" s="346"/>
      <c r="C144" s="726">
        <v>1278530.3</v>
      </c>
      <c r="D144" s="727">
        <v>2047860</v>
      </c>
      <c r="E144" s="728">
        <v>1707346</v>
      </c>
      <c r="F144" s="728">
        <v>94826.38</v>
      </c>
      <c r="G144" s="728">
        <v>1409560.49</v>
      </c>
      <c r="H144" s="728">
        <f t="shared" si="63"/>
        <v>1707346</v>
      </c>
      <c r="I144" s="730">
        <f t="shared" si="58"/>
        <v>-297785.51</v>
      </c>
      <c r="J144" s="798">
        <f t="shared" si="59"/>
        <v>-0.17441427220961656</v>
      </c>
      <c r="K144" s="783">
        <f t="shared" si="64"/>
        <v>1707346</v>
      </c>
    </row>
    <row r="145" spans="1:11" x14ac:dyDescent="0.25">
      <c r="A145" s="492" t="str">
        <f t="shared" si="62"/>
        <v>Security Services</v>
      </c>
      <c r="B145" s="346"/>
      <c r="C145" s="726">
        <v>7857097.9800000004</v>
      </c>
      <c r="D145" s="727">
        <v>8494904</v>
      </c>
      <c r="E145" s="728">
        <v>8544904</v>
      </c>
      <c r="F145" s="728">
        <v>1286658.32</v>
      </c>
      <c r="G145" s="728">
        <v>7981791.25</v>
      </c>
      <c r="H145" s="728">
        <f t="shared" si="63"/>
        <v>8544904</v>
      </c>
      <c r="I145" s="730">
        <f t="shared" si="58"/>
        <v>-563112.75</v>
      </c>
      <c r="J145" s="798">
        <f t="shared" si="59"/>
        <v>-6.5900418541858394E-2</v>
      </c>
      <c r="K145" s="783">
        <f t="shared" si="64"/>
        <v>8544904</v>
      </c>
    </row>
    <row r="146" spans="1:11" x14ac:dyDescent="0.25">
      <c r="A146" s="492" t="str">
        <f t="shared" si="62"/>
        <v xml:space="preserve">Supply Chain Management </v>
      </c>
      <c r="B146" s="346"/>
      <c r="C146" s="726">
        <v>9398172.8899999987</v>
      </c>
      <c r="D146" s="727">
        <v>11187848</v>
      </c>
      <c r="E146" s="728">
        <v>10744432</v>
      </c>
      <c r="F146" s="728">
        <v>855344.94</v>
      </c>
      <c r="G146" s="728">
        <v>10482420.980000002</v>
      </c>
      <c r="H146" s="728">
        <f t="shared" si="63"/>
        <v>10744432</v>
      </c>
      <c r="I146" s="730">
        <f t="shared" si="58"/>
        <v>-262011.01999999769</v>
      </c>
      <c r="J146" s="798">
        <f t="shared" si="59"/>
        <v>-2.4385748823204212E-2</v>
      </c>
      <c r="K146" s="783">
        <f t="shared" si="64"/>
        <v>10744432</v>
      </c>
    </row>
    <row r="147" spans="1:11" x14ac:dyDescent="0.25">
      <c r="A147" s="492" t="str">
        <f t="shared" si="62"/>
        <v>Valuation Service</v>
      </c>
      <c r="B147" s="346"/>
      <c r="C147" s="726">
        <v>8543962.0199999996</v>
      </c>
      <c r="D147" s="727">
        <v>20075972</v>
      </c>
      <c r="E147" s="728">
        <v>9676255</v>
      </c>
      <c r="F147" s="728">
        <v>249691.74999999997</v>
      </c>
      <c r="G147" s="728">
        <v>3408752.83</v>
      </c>
      <c r="H147" s="728">
        <f t="shared" si="63"/>
        <v>9676255</v>
      </c>
      <c r="I147" s="730">
        <f t="shared" si="58"/>
        <v>-6267502.1699999999</v>
      </c>
      <c r="J147" s="798">
        <f t="shared" si="59"/>
        <v>-0.64771982238996384</v>
      </c>
      <c r="K147" s="783">
        <f t="shared" si="64"/>
        <v>9676255</v>
      </c>
    </row>
    <row r="148" spans="1:11" x14ac:dyDescent="0.25">
      <c r="A148" s="465" t="str">
        <f>A25</f>
        <v>Internal audit</v>
      </c>
      <c r="B148" s="354"/>
      <c r="C148" s="733">
        <f t="shared" ref="C148:H148" si="65">SUM(C149:C149)</f>
        <v>2677470.1500000004</v>
      </c>
      <c r="D148" s="734">
        <f t="shared" si="65"/>
        <v>3791347</v>
      </c>
      <c r="E148" s="735">
        <f t="shared" si="65"/>
        <v>3060147</v>
      </c>
      <c r="F148" s="735">
        <f t="shared" si="65"/>
        <v>279834.86</v>
      </c>
      <c r="G148" s="735">
        <f t="shared" si="65"/>
        <v>3016799.23</v>
      </c>
      <c r="H148" s="735">
        <f t="shared" si="65"/>
        <v>3060147</v>
      </c>
      <c r="I148" s="735">
        <f t="shared" si="58"/>
        <v>-43347.770000000019</v>
      </c>
      <c r="J148" s="797">
        <f t="shared" si="59"/>
        <v>-1.4165257420640256E-2</v>
      </c>
      <c r="K148" s="749">
        <f>SUM(K149:K149)</f>
        <v>3060147</v>
      </c>
    </row>
    <row r="149" spans="1:11" x14ac:dyDescent="0.25">
      <c r="A149" s="492" t="str">
        <f>A26</f>
        <v>Governance Function</v>
      </c>
      <c r="B149" s="354"/>
      <c r="C149" s="726">
        <v>2677470.1500000004</v>
      </c>
      <c r="D149" s="727">
        <v>3791347</v>
      </c>
      <c r="E149" s="728">
        <v>3060147</v>
      </c>
      <c r="F149" s="728">
        <v>279834.86</v>
      </c>
      <c r="G149" s="728">
        <v>3016799.23</v>
      </c>
      <c r="H149" s="728">
        <f>E149/12*$L$1</f>
        <v>3060147</v>
      </c>
      <c r="I149" s="730">
        <f t="shared" si="58"/>
        <v>-43347.770000000019</v>
      </c>
      <c r="J149" s="798">
        <f t="shared" si="59"/>
        <v>-1.4165257420640256E-2</v>
      </c>
      <c r="K149" s="783">
        <f>E149</f>
        <v>3060147</v>
      </c>
    </row>
    <row r="150" spans="1:11" x14ac:dyDescent="0.25">
      <c r="A150" s="345" t="str">
        <f>A27</f>
        <v>Community and public safety</v>
      </c>
      <c r="B150" s="354"/>
      <c r="C150" s="806">
        <f t="shared" ref="C150:H150" si="66">C151+C173+C179+C186+C189</f>
        <v>105172845.57999998</v>
      </c>
      <c r="D150" s="810">
        <f t="shared" si="66"/>
        <v>124899554</v>
      </c>
      <c r="E150" s="781">
        <f t="shared" si="66"/>
        <v>108563158</v>
      </c>
      <c r="F150" s="781">
        <f t="shared" si="66"/>
        <v>12957298.76</v>
      </c>
      <c r="G150" s="781">
        <f t="shared" si="66"/>
        <v>101910817.84</v>
      </c>
      <c r="H150" s="781">
        <f t="shared" si="66"/>
        <v>108563158</v>
      </c>
      <c r="I150" s="781">
        <f t="shared" si="58"/>
        <v>-6652340.1599999964</v>
      </c>
      <c r="J150" s="799">
        <f t="shared" si="59"/>
        <v>-6.1276221902093128E-2</v>
      </c>
      <c r="K150" s="782">
        <f>K151+K173+K179+K186+K189</f>
        <v>108563158</v>
      </c>
    </row>
    <row r="151" spans="1:11" x14ac:dyDescent="0.25">
      <c r="A151" s="465" t="str">
        <f>A28</f>
        <v>Community and social services</v>
      </c>
      <c r="B151" s="354"/>
      <c r="C151" s="733">
        <f t="shared" ref="C151:H151" si="67">SUM(C152:C172)</f>
        <v>20256306.890000001</v>
      </c>
      <c r="D151" s="734">
        <f t="shared" si="67"/>
        <v>22882194</v>
      </c>
      <c r="E151" s="735">
        <f t="shared" si="67"/>
        <v>22176581</v>
      </c>
      <c r="F151" s="735">
        <f t="shared" si="67"/>
        <v>2109357.2399999998</v>
      </c>
      <c r="G151" s="735">
        <f t="shared" si="67"/>
        <v>21469408.559999995</v>
      </c>
      <c r="H151" s="735">
        <f t="shared" si="67"/>
        <v>22176581</v>
      </c>
      <c r="I151" s="735">
        <f t="shared" si="58"/>
        <v>-707172.44000000507</v>
      </c>
      <c r="J151" s="797">
        <f t="shared" si="59"/>
        <v>-3.1888253649198901E-2</v>
      </c>
      <c r="K151" s="749">
        <f>SUM(K152:K172)</f>
        <v>22176581</v>
      </c>
    </row>
    <row r="152" spans="1:11" x14ac:dyDescent="0.25">
      <c r="A152" s="492" t="str">
        <f t="shared" ref="A152:A172" si="68">A29</f>
        <v>Aged Care</v>
      </c>
      <c r="B152" s="354"/>
      <c r="C152" s="726">
        <v>0</v>
      </c>
      <c r="D152" s="727">
        <v>0</v>
      </c>
      <c r="E152" s="728">
        <v>0</v>
      </c>
      <c r="F152" s="728">
        <v>0</v>
      </c>
      <c r="G152" s="728">
        <v>0</v>
      </c>
      <c r="H152" s="728">
        <f t="shared" ref="H152:H172" si="69">E152/12*$L$1</f>
        <v>0</v>
      </c>
      <c r="I152" s="730">
        <f t="shared" si="58"/>
        <v>0</v>
      </c>
      <c r="J152" s="798" t="str">
        <f t="shared" si="59"/>
        <v/>
      </c>
      <c r="K152" s="783">
        <f t="shared" ref="K152:K172" si="70">E152</f>
        <v>0</v>
      </c>
    </row>
    <row r="153" spans="1:11" x14ac:dyDescent="0.25">
      <c r="A153" s="492" t="str">
        <f t="shared" si="68"/>
        <v>Agricultural</v>
      </c>
      <c r="B153" s="354"/>
      <c r="C153" s="726">
        <v>0</v>
      </c>
      <c r="D153" s="727">
        <v>0</v>
      </c>
      <c r="E153" s="728">
        <v>0</v>
      </c>
      <c r="F153" s="728">
        <v>0</v>
      </c>
      <c r="G153" s="728">
        <v>0</v>
      </c>
      <c r="H153" s="728">
        <f t="shared" si="69"/>
        <v>0</v>
      </c>
      <c r="I153" s="730">
        <f t="shared" si="58"/>
        <v>0</v>
      </c>
      <c r="J153" s="798" t="str">
        <f t="shared" si="59"/>
        <v/>
      </c>
      <c r="K153" s="783">
        <f t="shared" si="70"/>
        <v>0</v>
      </c>
    </row>
    <row r="154" spans="1:11" x14ac:dyDescent="0.25">
      <c r="A154" s="492" t="str">
        <f t="shared" si="68"/>
        <v>Animal Care and Diseases</v>
      </c>
      <c r="B154" s="354"/>
      <c r="C154" s="726">
        <v>366281.47000000009</v>
      </c>
      <c r="D154" s="727">
        <v>578609</v>
      </c>
      <c r="E154" s="728">
        <v>517635</v>
      </c>
      <c r="F154" s="728">
        <v>36830.43</v>
      </c>
      <c r="G154" s="728">
        <v>446392.35000000003</v>
      </c>
      <c r="H154" s="728">
        <f t="shared" si="69"/>
        <v>517635</v>
      </c>
      <c r="I154" s="730">
        <f t="shared" si="58"/>
        <v>-71242.649999999965</v>
      </c>
      <c r="J154" s="798">
        <f t="shared" si="59"/>
        <v>-0.13763105276884285</v>
      </c>
      <c r="K154" s="783">
        <f t="shared" si="70"/>
        <v>517635</v>
      </c>
    </row>
    <row r="155" spans="1:11" ht="22.5" x14ac:dyDescent="0.25">
      <c r="A155" s="492" t="str">
        <f t="shared" si="68"/>
        <v>Cemeteries, Funeral Parlours and Crematoriums</v>
      </c>
      <c r="B155" s="354"/>
      <c r="C155" s="726">
        <v>2161441.7399999998</v>
      </c>
      <c r="D155" s="727">
        <v>2642295</v>
      </c>
      <c r="E155" s="728">
        <v>2544888</v>
      </c>
      <c r="F155" s="728">
        <v>375572.61</v>
      </c>
      <c r="G155" s="728">
        <v>2438725.2000000002</v>
      </c>
      <c r="H155" s="728">
        <f t="shared" si="69"/>
        <v>2544888</v>
      </c>
      <c r="I155" s="730">
        <f t="shared" si="58"/>
        <v>-106162.79999999981</v>
      </c>
      <c r="J155" s="798">
        <f t="shared" si="59"/>
        <v>-4.171609909748477E-2</v>
      </c>
      <c r="K155" s="783">
        <f t="shared" si="70"/>
        <v>2544888</v>
      </c>
    </row>
    <row r="156" spans="1:11" x14ac:dyDescent="0.25">
      <c r="A156" s="492" t="str">
        <f t="shared" si="68"/>
        <v>Child Care Facilities</v>
      </c>
      <c r="B156" s="354"/>
      <c r="C156" s="726">
        <v>0</v>
      </c>
      <c r="D156" s="727">
        <v>0</v>
      </c>
      <c r="E156" s="728">
        <v>0</v>
      </c>
      <c r="F156" s="728">
        <v>0</v>
      </c>
      <c r="G156" s="728">
        <v>0</v>
      </c>
      <c r="H156" s="728">
        <f t="shared" si="69"/>
        <v>0</v>
      </c>
      <c r="I156" s="730">
        <f t="shared" si="58"/>
        <v>0</v>
      </c>
      <c r="J156" s="798" t="str">
        <f t="shared" si="59"/>
        <v/>
      </c>
      <c r="K156" s="783">
        <f t="shared" si="70"/>
        <v>0</v>
      </c>
    </row>
    <row r="157" spans="1:11" x14ac:dyDescent="0.25">
      <c r="A157" s="492" t="str">
        <f t="shared" si="68"/>
        <v>Community Halls and Facilities</v>
      </c>
      <c r="B157" s="354"/>
      <c r="C157" s="726">
        <v>5709712.5099999998</v>
      </c>
      <c r="D157" s="727">
        <v>6069895</v>
      </c>
      <c r="E157" s="728">
        <v>5767435</v>
      </c>
      <c r="F157" s="728">
        <v>449376.5</v>
      </c>
      <c r="G157" s="728">
        <v>5575431.2700000033</v>
      </c>
      <c r="H157" s="728">
        <f t="shared" si="69"/>
        <v>5767435</v>
      </c>
      <c r="I157" s="730">
        <f t="shared" si="58"/>
        <v>-192003.72999999672</v>
      </c>
      <c r="J157" s="798">
        <f t="shared" si="59"/>
        <v>-3.3291008914707619E-2</v>
      </c>
      <c r="K157" s="783">
        <f t="shared" si="70"/>
        <v>5767435</v>
      </c>
    </row>
    <row r="158" spans="1:11" x14ac:dyDescent="0.25">
      <c r="A158" s="492" t="str">
        <f t="shared" si="68"/>
        <v>Consumer Protection</v>
      </c>
      <c r="B158" s="354"/>
      <c r="C158" s="726">
        <v>0</v>
      </c>
      <c r="D158" s="727">
        <v>0</v>
      </c>
      <c r="E158" s="728">
        <v>0</v>
      </c>
      <c r="F158" s="728">
        <v>0</v>
      </c>
      <c r="G158" s="728">
        <v>0</v>
      </c>
      <c r="H158" s="728">
        <f t="shared" si="69"/>
        <v>0</v>
      </c>
      <c r="I158" s="730">
        <f t="shared" si="58"/>
        <v>0</v>
      </c>
      <c r="J158" s="798" t="str">
        <f t="shared" si="59"/>
        <v/>
      </c>
      <c r="K158" s="783">
        <f t="shared" si="70"/>
        <v>0</v>
      </c>
    </row>
    <row r="159" spans="1:11" x14ac:dyDescent="0.25">
      <c r="A159" s="492" t="str">
        <f t="shared" si="68"/>
        <v>Cultural Matters</v>
      </c>
      <c r="B159" s="354"/>
      <c r="C159" s="726">
        <v>0</v>
      </c>
      <c r="D159" s="727">
        <v>0</v>
      </c>
      <c r="E159" s="728">
        <v>0</v>
      </c>
      <c r="F159" s="728">
        <v>0</v>
      </c>
      <c r="G159" s="728">
        <v>0</v>
      </c>
      <c r="H159" s="728">
        <f t="shared" si="69"/>
        <v>0</v>
      </c>
      <c r="I159" s="730">
        <f t="shared" si="58"/>
        <v>0</v>
      </c>
      <c r="J159" s="798" t="str">
        <f t="shared" si="59"/>
        <v/>
      </c>
      <c r="K159" s="783">
        <f t="shared" si="70"/>
        <v>0</v>
      </c>
    </row>
    <row r="160" spans="1:11" x14ac:dyDescent="0.25">
      <c r="A160" s="492" t="str">
        <f t="shared" si="68"/>
        <v>Disaster Management</v>
      </c>
      <c r="B160" s="354"/>
      <c r="C160" s="726">
        <v>0</v>
      </c>
      <c r="D160" s="727">
        <v>0</v>
      </c>
      <c r="E160" s="728">
        <v>0</v>
      </c>
      <c r="F160" s="728">
        <v>0</v>
      </c>
      <c r="G160" s="728">
        <v>0</v>
      </c>
      <c r="H160" s="728">
        <f t="shared" si="69"/>
        <v>0</v>
      </c>
      <c r="I160" s="730">
        <f t="shared" si="58"/>
        <v>0</v>
      </c>
      <c r="J160" s="798" t="str">
        <f t="shared" si="59"/>
        <v/>
      </c>
      <c r="K160" s="783">
        <f t="shared" si="70"/>
        <v>0</v>
      </c>
    </row>
    <row r="161" spans="1:11" x14ac:dyDescent="0.25">
      <c r="A161" s="492" t="str">
        <f t="shared" si="68"/>
        <v>Education</v>
      </c>
      <c r="B161" s="354"/>
      <c r="C161" s="726">
        <v>0</v>
      </c>
      <c r="D161" s="727">
        <v>0</v>
      </c>
      <c r="E161" s="728">
        <v>0</v>
      </c>
      <c r="F161" s="728">
        <v>0</v>
      </c>
      <c r="G161" s="728">
        <v>0</v>
      </c>
      <c r="H161" s="728">
        <f t="shared" si="69"/>
        <v>0</v>
      </c>
      <c r="I161" s="730">
        <f t="shared" si="58"/>
        <v>0</v>
      </c>
      <c r="J161" s="798" t="str">
        <f t="shared" si="59"/>
        <v/>
      </c>
      <c r="K161" s="783">
        <f t="shared" si="70"/>
        <v>0</v>
      </c>
    </row>
    <row r="162" spans="1:11" x14ac:dyDescent="0.25">
      <c r="A162" s="492" t="str">
        <f t="shared" si="68"/>
        <v>Indigenous and Customary Law</v>
      </c>
      <c r="B162" s="354"/>
      <c r="C162" s="726">
        <v>0</v>
      </c>
      <c r="D162" s="727">
        <v>0</v>
      </c>
      <c r="E162" s="728">
        <v>0</v>
      </c>
      <c r="F162" s="728">
        <v>0</v>
      </c>
      <c r="G162" s="728">
        <v>0</v>
      </c>
      <c r="H162" s="728">
        <f t="shared" si="69"/>
        <v>0</v>
      </c>
      <c r="I162" s="730">
        <f t="shared" si="58"/>
        <v>0</v>
      </c>
      <c r="J162" s="798" t="str">
        <f t="shared" si="59"/>
        <v/>
      </c>
      <c r="K162" s="783">
        <f t="shared" si="70"/>
        <v>0</v>
      </c>
    </row>
    <row r="163" spans="1:11" x14ac:dyDescent="0.25">
      <c r="A163" s="492" t="str">
        <f t="shared" si="68"/>
        <v>Industrial Promotion</v>
      </c>
      <c r="B163" s="354"/>
      <c r="C163" s="726">
        <v>0</v>
      </c>
      <c r="D163" s="727">
        <v>0</v>
      </c>
      <c r="E163" s="728">
        <v>0</v>
      </c>
      <c r="F163" s="728">
        <v>0</v>
      </c>
      <c r="G163" s="728">
        <v>0</v>
      </c>
      <c r="H163" s="728">
        <f t="shared" si="69"/>
        <v>0</v>
      </c>
      <c r="I163" s="730">
        <f t="shared" si="58"/>
        <v>0</v>
      </c>
      <c r="J163" s="798" t="str">
        <f t="shared" si="59"/>
        <v/>
      </c>
      <c r="K163" s="783">
        <f t="shared" si="70"/>
        <v>0</v>
      </c>
    </row>
    <row r="164" spans="1:11" x14ac:dyDescent="0.25">
      <c r="A164" s="492" t="str">
        <f t="shared" si="68"/>
        <v>Language Policy</v>
      </c>
      <c r="B164" s="354"/>
      <c r="C164" s="726">
        <v>0</v>
      </c>
      <c r="D164" s="727">
        <v>0</v>
      </c>
      <c r="E164" s="728">
        <v>0</v>
      </c>
      <c r="F164" s="728">
        <v>0</v>
      </c>
      <c r="G164" s="728">
        <v>0</v>
      </c>
      <c r="H164" s="728">
        <f t="shared" si="69"/>
        <v>0</v>
      </c>
      <c r="I164" s="730">
        <f t="shared" si="58"/>
        <v>0</v>
      </c>
      <c r="J164" s="798" t="str">
        <f t="shared" si="59"/>
        <v/>
      </c>
      <c r="K164" s="783">
        <f t="shared" si="70"/>
        <v>0</v>
      </c>
    </row>
    <row r="165" spans="1:11" x14ac:dyDescent="0.25">
      <c r="A165" s="492" t="str">
        <f t="shared" si="68"/>
        <v>Libraries and Archives</v>
      </c>
      <c r="B165" s="354"/>
      <c r="C165" s="726">
        <v>12018871.170000002</v>
      </c>
      <c r="D165" s="727">
        <v>13591395</v>
      </c>
      <c r="E165" s="728">
        <v>13346623</v>
      </c>
      <c r="F165" s="728">
        <v>1247577.6999999997</v>
      </c>
      <c r="G165" s="728">
        <v>13008859.739999993</v>
      </c>
      <c r="H165" s="728">
        <f t="shared" si="69"/>
        <v>13346623</v>
      </c>
      <c r="I165" s="730">
        <f t="shared" si="58"/>
        <v>-337763.26000000723</v>
      </c>
      <c r="J165" s="798">
        <f t="shared" si="59"/>
        <v>-2.530702036013209E-2</v>
      </c>
      <c r="K165" s="783">
        <f t="shared" si="70"/>
        <v>13346623</v>
      </c>
    </row>
    <row r="166" spans="1:11" x14ac:dyDescent="0.25">
      <c r="A166" s="492" t="str">
        <f t="shared" si="68"/>
        <v>Literacy Programmes</v>
      </c>
      <c r="B166" s="354"/>
      <c r="C166" s="726">
        <v>0</v>
      </c>
      <c r="D166" s="727">
        <v>0</v>
      </c>
      <c r="E166" s="728">
        <v>0</v>
      </c>
      <c r="F166" s="728">
        <v>0</v>
      </c>
      <c r="G166" s="728">
        <v>0</v>
      </c>
      <c r="H166" s="728">
        <f t="shared" si="69"/>
        <v>0</v>
      </c>
      <c r="I166" s="730">
        <f t="shared" si="58"/>
        <v>0</v>
      </c>
      <c r="J166" s="798" t="str">
        <f t="shared" si="59"/>
        <v/>
      </c>
      <c r="K166" s="783">
        <f t="shared" si="70"/>
        <v>0</v>
      </c>
    </row>
    <row r="167" spans="1:11" x14ac:dyDescent="0.25">
      <c r="A167" s="492" t="str">
        <f t="shared" si="68"/>
        <v>Media Services</v>
      </c>
      <c r="B167" s="354"/>
      <c r="C167" s="726">
        <v>0</v>
      </c>
      <c r="D167" s="727">
        <v>0</v>
      </c>
      <c r="E167" s="728">
        <v>0</v>
      </c>
      <c r="F167" s="728">
        <v>0</v>
      </c>
      <c r="G167" s="728">
        <v>0</v>
      </c>
      <c r="H167" s="728">
        <f t="shared" si="69"/>
        <v>0</v>
      </c>
      <c r="I167" s="730">
        <f t="shared" si="58"/>
        <v>0</v>
      </c>
      <c r="J167" s="798" t="str">
        <f t="shared" si="59"/>
        <v/>
      </c>
      <c r="K167" s="783">
        <f t="shared" si="70"/>
        <v>0</v>
      </c>
    </row>
    <row r="168" spans="1:11" x14ac:dyDescent="0.25">
      <c r="A168" s="492" t="str">
        <f t="shared" si="68"/>
        <v>Museums and Art Galleries</v>
      </c>
      <c r="B168" s="354"/>
      <c r="C168" s="726">
        <v>0</v>
      </c>
      <c r="D168" s="727">
        <v>0</v>
      </c>
      <c r="E168" s="728">
        <v>0</v>
      </c>
      <c r="F168" s="728">
        <v>0</v>
      </c>
      <c r="G168" s="728">
        <v>0</v>
      </c>
      <c r="H168" s="728">
        <f t="shared" si="69"/>
        <v>0</v>
      </c>
      <c r="I168" s="730">
        <f t="shared" si="58"/>
        <v>0</v>
      </c>
      <c r="J168" s="798" t="str">
        <f t="shared" si="59"/>
        <v/>
      </c>
      <c r="K168" s="783">
        <f t="shared" si="70"/>
        <v>0</v>
      </c>
    </row>
    <row r="169" spans="1:11" x14ac:dyDescent="0.25">
      <c r="A169" s="492" t="str">
        <f t="shared" si="68"/>
        <v>Population Development</v>
      </c>
      <c r="B169" s="354"/>
      <c r="C169" s="726">
        <v>0</v>
      </c>
      <c r="D169" s="727">
        <v>0</v>
      </c>
      <c r="E169" s="728">
        <v>0</v>
      </c>
      <c r="F169" s="728">
        <v>0</v>
      </c>
      <c r="G169" s="728">
        <v>0</v>
      </c>
      <c r="H169" s="728">
        <f t="shared" si="69"/>
        <v>0</v>
      </c>
      <c r="I169" s="730">
        <f t="shared" si="58"/>
        <v>0</v>
      </c>
      <c r="J169" s="798" t="str">
        <f t="shared" si="59"/>
        <v/>
      </c>
      <c r="K169" s="783">
        <f t="shared" si="70"/>
        <v>0</v>
      </c>
    </row>
    <row r="170" spans="1:11" x14ac:dyDescent="0.25">
      <c r="A170" s="492" t="str">
        <f t="shared" si="68"/>
        <v>Provincial Cultural Matters</v>
      </c>
      <c r="B170" s="354"/>
      <c r="C170" s="726">
        <v>0</v>
      </c>
      <c r="D170" s="727">
        <v>0</v>
      </c>
      <c r="E170" s="728">
        <v>0</v>
      </c>
      <c r="F170" s="728">
        <v>0</v>
      </c>
      <c r="G170" s="728">
        <v>0</v>
      </c>
      <c r="H170" s="728">
        <f t="shared" si="69"/>
        <v>0</v>
      </c>
      <c r="I170" s="730">
        <f t="shared" si="58"/>
        <v>0</v>
      </c>
      <c r="J170" s="798" t="str">
        <f t="shared" si="59"/>
        <v/>
      </c>
      <c r="K170" s="783">
        <f t="shared" si="70"/>
        <v>0</v>
      </c>
    </row>
    <row r="171" spans="1:11" x14ac:dyDescent="0.25">
      <c r="A171" s="492" t="str">
        <f t="shared" si="68"/>
        <v>Theatres</v>
      </c>
      <c r="B171" s="354"/>
      <c r="C171" s="726">
        <v>0</v>
      </c>
      <c r="D171" s="727">
        <v>0</v>
      </c>
      <c r="E171" s="728">
        <v>0</v>
      </c>
      <c r="F171" s="728">
        <v>0</v>
      </c>
      <c r="G171" s="728">
        <v>0</v>
      </c>
      <c r="H171" s="728">
        <f t="shared" si="69"/>
        <v>0</v>
      </c>
      <c r="I171" s="730">
        <f t="shared" si="58"/>
        <v>0</v>
      </c>
      <c r="J171" s="798" t="str">
        <f t="shared" si="59"/>
        <v/>
      </c>
      <c r="K171" s="783">
        <f t="shared" si="70"/>
        <v>0</v>
      </c>
    </row>
    <row r="172" spans="1:11" x14ac:dyDescent="0.25">
      <c r="A172" s="492" t="str">
        <f t="shared" si="68"/>
        <v>Zoo's</v>
      </c>
      <c r="B172" s="354"/>
      <c r="C172" s="726">
        <v>0</v>
      </c>
      <c r="D172" s="727">
        <v>0</v>
      </c>
      <c r="E172" s="728">
        <v>0</v>
      </c>
      <c r="F172" s="728">
        <v>0</v>
      </c>
      <c r="G172" s="728">
        <v>0</v>
      </c>
      <c r="H172" s="728">
        <f t="shared" si="69"/>
        <v>0</v>
      </c>
      <c r="I172" s="730">
        <f t="shared" si="58"/>
        <v>0</v>
      </c>
      <c r="J172" s="798" t="str">
        <f t="shared" si="59"/>
        <v/>
      </c>
      <c r="K172" s="783">
        <f t="shared" si="70"/>
        <v>0</v>
      </c>
    </row>
    <row r="173" spans="1:11" x14ac:dyDescent="0.25">
      <c r="A173" s="465" t="str">
        <f t="shared" ref="A173:A181" si="71">A50</f>
        <v>Sport and recreation</v>
      </c>
      <c r="B173" s="354"/>
      <c r="C173" s="733">
        <f t="shared" ref="C173:K173" si="72">SUM(C174:C178)</f>
        <v>26073883.940000009</v>
      </c>
      <c r="D173" s="734">
        <f t="shared" si="72"/>
        <v>32696754</v>
      </c>
      <c r="E173" s="735">
        <f t="shared" si="72"/>
        <v>26153407</v>
      </c>
      <c r="F173" s="735">
        <f t="shared" si="72"/>
        <v>2519675.17</v>
      </c>
      <c r="G173" s="735">
        <f t="shared" si="72"/>
        <v>26643700.080000006</v>
      </c>
      <c r="H173" s="735">
        <f t="shared" si="72"/>
        <v>26153407</v>
      </c>
      <c r="I173" s="735">
        <f t="shared" ref="I173:I178" si="73">G173-H173</f>
        <v>490293.08000000566</v>
      </c>
      <c r="J173" s="797">
        <f t="shared" ref="J173:J178" si="74">IF(I173=0,"",I173/H173)</f>
        <v>1.8746814898724502E-2</v>
      </c>
      <c r="K173" s="749">
        <f t="shared" si="72"/>
        <v>26153407</v>
      </c>
    </row>
    <row r="174" spans="1:11" x14ac:dyDescent="0.25">
      <c r="A174" s="492" t="str">
        <f t="shared" si="71"/>
        <v xml:space="preserve">Beaches and Jetties </v>
      </c>
      <c r="B174" s="354"/>
      <c r="C174" s="726">
        <v>0</v>
      </c>
      <c r="D174" s="727">
        <v>0</v>
      </c>
      <c r="E174" s="728">
        <v>0</v>
      </c>
      <c r="F174" s="728">
        <v>0</v>
      </c>
      <c r="G174" s="728">
        <v>0</v>
      </c>
      <c r="H174" s="728">
        <f>E174/12*$L$1</f>
        <v>0</v>
      </c>
      <c r="I174" s="730">
        <f t="shared" si="73"/>
        <v>0</v>
      </c>
      <c r="J174" s="798" t="str">
        <f t="shared" si="74"/>
        <v/>
      </c>
      <c r="K174" s="783">
        <f>E174</f>
        <v>0</v>
      </c>
    </row>
    <row r="175" spans="1:11" x14ac:dyDescent="0.25">
      <c r="A175" s="492" t="str">
        <f t="shared" si="71"/>
        <v>Casinos, Racing, Gambling, Wagering</v>
      </c>
      <c r="B175" s="354"/>
      <c r="C175" s="726">
        <v>0</v>
      </c>
      <c r="D175" s="727">
        <v>0</v>
      </c>
      <c r="E175" s="728">
        <v>0</v>
      </c>
      <c r="F175" s="728">
        <v>0</v>
      </c>
      <c r="G175" s="728">
        <v>0</v>
      </c>
      <c r="H175" s="728">
        <f>E175/12*$L$1</f>
        <v>0</v>
      </c>
      <c r="I175" s="730">
        <f t="shared" si="73"/>
        <v>0</v>
      </c>
      <c r="J175" s="798" t="str">
        <f t="shared" si="74"/>
        <v/>
      </c>
      <c r="K175" s="783">
        <f>E175</f>
        <v>0</v>
      </c>
    </row>
    <row r="176" spans="1:11" x14ac:dyDescent="0.25">
      <c r="A176" s="492" t="str">
        <f t="shared" si="71"/>
        <v>Community Parks (including Nurseries)</v>
      </c>
      <c r="B176" s="354"/>
      <c r="C176" s="726">
        <v>8339309.8700000001</v>
      </c>
      <c r="D176" s="727">
        <v>10207541</v>
      </c>
      <c r="E176" s="728">
        <v>9060591</v>
      </c>
      <c r="F176" s="728">
        <v>949978.87000000023</v>
      </c>
      <c r="G176" s="728">
        <v>8351920.0700000012</v>
      </c>
      <c r="H176" s="728">
        <f>E176/12*$L$1</f>
        <v>9060591</v>
      </c>
      <c r="I176" s="730">
        <f t="shared" si="73"/>
        <v>-708670.92999999877</v>
      </c>
      <c r="J176" s="798">
        <f t="shared" si="74"/>
        <v>-7.8214647366821738E-2</v>
      </c>
      <c r="K176" s="783">
        <f>E176</f>
        <v>9060591</v>
      </c>
    </row>
    <row r="177" spans="1:11" x14ac:dyDescent="0.25">
      <c r="A177" s="492" t="str">
        <f t="shared" si="71"/>
        <v>Recreational Facilities</v>
      </c>
      <c r="B177" s="354"/>
      <c r="C177" s="726">
        <v>12407395.540000007</v>
      </c>
      <c r="D177" s="727">
        <v>16137013</v>
      </c>
      <c r="E177" s="728">
        <v>10897743</v>
      </c>
      <c r="F177" s="728">
        <v>965745.48</v>
      </c>
      <c r="G177" s="728">
        <v>12277145.010000002</v>
      </c>
      <c r="H177" s="728">
        <f>E177/12*$L$1</f>
        <v>10897743</v>
      </c>
      <c r="I177" s="730">
        <f t="shared" si="73"/>
        <v>1379402.0100000016</v>
      </c>
      <c r="J177" s="798">
        <f t="shared" si="74"/>
        <v>0.12657685265655483</v>
      </c>
      <c r="K177" s="783">
        <f>E177</f>
        <v>10897743</v>
      </c>
    </row>
    <row r="178" spans="1:11" x14ac:dyDescent="0.25">
      <c r="A178" s="492" t="str">
        <f t="shared" si="71"/>
        <v>Sports Grounds and Stadiums</v>
      </c>
      <c r="B178" s="354"/>
      <c r="C178" s="726">
        <v>5327178.5300000012</v>
      </c>
      <c r="D178" s="727">
        <v>6352200</v>
      </c>
      <c r="E178" s="728">
        <v>6195073</v>
      </c>
      <c r="F178" s="728">
        <v>603950.81999999995</v>
      </c>
      <c r="G178" s="728">
        <v>6014635.0000000037</v>
      </c>
      <c r="H178" s="728">
        <f>E178/12*$L$1</f>
        <v>6195073</v>
      </c>
      <c r="I178" s="730">
        <f t="shared" si="73"/>
        <v>-180437.99999999627</v>
      </c>
      <c r="J178" s="798">
        <f t="shared" si="74"/>
        <v>-2.9126049039292397E-2</v>
      </c>
      <c r="K178" s="783">
        <f>E178</f>
        <v>6195073</v>
      </c>
    </row>
    <row r="179" spans="1:11" x14ac:dyDescent="0.25">
      <c r="A179" s="465" t="str">
        <f t="shared" si="71"/>
        <v>Public safety</v>
      </c>
      <c r="B179" s="354"/>
      <c r="C179" s="733">
        <f t="shared" ref="C179:K179" si="75">SUM(C180:C185)</f>
        <v>29670658.309999991</v>
      </c>
      <c r="D179" s="734">
        <f t="shared" si="75"/>
        <v>31261519</v>
      </c>
      <c r="E179" s="735">
        <f t="shared" si="75"/>
        <v>27725067</v>
      </c>
      <c r="F179" s="735">
        <f t="shared" si="75"/>
        <v>2907713.99</v>
      </c>
      <c r="G179" s="735">
        <f t="shared" si="75"/>
        <v>27940925.450000003</v>
      </c>
      <c r="H179" s="735">
        <f t="shared" si="75"/>
        <v>27725067</v>
      </c>
      <c r="I179" s="735">
        <f t="shared" si="58"/>
        <v>215858.45000000298</v>
      </c>
      <c r="J179" s="797">
        <f t="shared" si="59"/>
        <v>7.7856782095423963E-3</v>
      </c>
      <c r="K179" s="749">
        <f t="shared" si="75"/>
        <v>27725067</v>
      </c>
    </row>
    <row r="180" spans="1:11" x14ac:dyDescent="0.25">
      <c r="A180" s="492" t="str">
        <f t="shared" si="71"/>
        <v>Civil Defence</v>
      </c>
      <c r="B180" s="354"/>
      <c r="C180" s="726">
        <v>0</v>
      </c>
      <c r="D180" s="727">
        <v>0</v>
      </c>
      <c r="E180" s="728">
        <v>0</v>
      </c>
      <c r="F180" s="728">
        <v>0</v>
      </c>
      <c r="G180" s="728">
        <v>0</v>
      </c>
      <c r="H180" s="728">
        <f t="shared" ref="H180:H185" si="76">E180/12*$L$1</f>
        <v>0</v>
      </c>
      <c r="I180" s="730">
        <f t="shared" si="58"/>
        <v>0</v>
      </c>
      <c r="J180" s="798" t="str">
        <f t="shared" si="59"/>
        <v/>
      </c>
      <c r="K180" s="783">
        <f t="shared" ref="K180:K185" si="77">E180</f>
        <v>0</v>
      </c>
    </row>
    <row r="181" spans="1:11" x14ac:dyDescent="0.25">
      <c r="A181" s="492" t="str">
        <f t="shared" si="71"/>
        <v>Cleansing</v>
      </c>
      <c r="B181" s="354"/>
      <c r="C181" s="726">
        <v>0</v>
      </c>
      <c r="D181" s="727">
        <v>0</v>
      </c>
      <c r="E181" s="728">
        <v>0</v>
      </c>
      <c r="F181" s="728">
        <v>0</v>
      </c>
      <c r="G181" s="728">
        <v>0</v>
      </c>
      <c r="H181" s="728">
        <f t="shared" si="76"/>
        <v>0</v>
      </c>
      <c r="I181" s="730">
        <f t="shared" si="58"/>
        <v>0</v>
      </c>
      <c r="J181" s="798" t="str">
        <f t="shared" si="59"/>
        <v/>
      </c>
      <c r="K181" s="783">
        <f t="shared" si="77"/>
        <v>0</v>
      </c>
    </row>
    <row r="182" spans="1:11" x14ac:dyDescent="0.25">
      <c r="A182" s="492" t="str">
        <f t="shared" ref="A182:A189" si="78">A59</f>
        <v>Control of Public Nuisances</v>
      </c>
      <c r="B182" s="354"/>
      <c r="C182" s="726">
        <v>0</v>
      </c>
      <c r="D182" s="727">
        <v>0</v>
      </c>
      <c r="E182" s="728">
        <v>0</v>
      </c>
      <c r="F182" s="728">
        <v>0</v>
      </c>
      <c r="G182" s="728">
        <v>0</v>
      </c>
      <c r="H182" s="728">
        <f t="shared" si="76"/>
        <v>0</v>
      </c>
      <c r="I182" s="730">
        <f t="shared" si="58"/>
        <v>0</v>
      </c>
      <c r="J182" s="798" t="str">
        <f t="shared" si="59"/>
        <v/>
      </c>
      <c r="K182" s="783">
        <f t="shared" si="77"/>
        <v>0</v>
      </c>
    </row>
    <row r="183" spans="1:11" x14ac:dyDescent="0.25">
      <c r="A183" s="492" t="str">
        <f t="shared" si="78"/>
        <v xml:space="preserve">Fencing and Fences </v>
      </c>
      <c r="B183" s="354"/>
      <c r="C183" s="726">
        <v>0</v>
      </c>
      <c r="D183" s="727">
        <v>0</v>
      </c>
      <c r="E183" s="728">
        <v>0</v>
      </c>
      <c r="F183" s="728">
        <v>0</v>
      </c>
      <c r="G183" s="728">
        <v>0</v>
      </c>
      <c r="H183" s="728">
        <f t="shared" si="76"/>
        <v>0</v>
      </c>
      <c r="I183" s="730">
        <f t="shared" si="58"/>
        <v>0</v>
      </c>
      <c r="J183" s="798" t="str">
        <f t="shared" si="59"/>
        <v/>
      </c>
      <c r="K183" s="783">
        <f t="shared" si="77"/>
        <v>0</v>
      </c>
    </row>
    <row r="184" spans="1:11" x14ac:dyDescent="0.25">
      <c r="A184" s="492" t="str">
        <f t="shared" si="78"/>
        <v>Fire Fighting and Protection</v>
      </c>
      <c r="B184" s="354"/>
      <c r="C184" s="726">
        <v>28856658.309999991</v>
      </c>
      <c r="D184" s="727">
        <v>30401121</v>
      </c>
      <c r="E184" s="728">
        <v>26960369</v>
      </c>
      <c r="F184" s="728">
        <v>2719039.49</v>
      </c>
      <c r="G184" s="728">
        <v>27186227.450000003</v>
      </c>
      <c r="H184" s="728">
        <f t="shared" si="76"/>
        <v>26960369</v>
      </c>
      <c r="I184" s="730">
        <f t="shared" si="58"/>
        <v>225858.45000000298</v>
      </c>
      <c r="J184" s="798">
        <f t="shared" si="59"/>
        <v>8.3774242852537734E-3</v>
      </c>
      <c r="K184" s="783">
        <f t="shared" si="77"/>
        <v>26960369</v>
      </c>
    </row>
    <row r="185" spans="1:11" x14ac:dyDescent="0.25">
      <c r="A185" s="492" t="str">
        <f t="shared" si="78"/>
        <v>Licensing and Control of Animals</v>
      </c>
      <c r="B185" s="354"/>
      <c r="C185" s="726">
        <v>814000</v>
      </c>
      <c r="D185" s="727">
        <v>860398</v>
      </c>
      <c r="E185" s="728">
        <v>764698</v>
      </c>
      <c r="F185" s="728">
        <v>188674.5</v>
      </c>
      <c r="G185" s="728">
        <v>754698</v>
      </c>
      <c r="H185" s="728">
        <f t="shared" si="76"/>
        <v>764698</v>
      </c>
      <c r="I185" s="730">
        <f t="shared" si="58"/>
        <v>-10000</v>
      </c>
      <c r="J185" s="798">
        <f t="shared" si="59"/>
        <v>-1.3077057871211903E-2</v>
      </c>
      <c r="K185" s="783">
        <f t="shared" si="77"/>
        <v>764698</v>
      </c>
    </row>
    <row r="186" spans="1:11" x14ac:dyDescent="0.25">
      <c r="A186" s="465" t="str">
        <f t="shared" si="78"/>
        <v>Housing</v>
      </c>
      <c r="B186" s="354"/>
      <c r="C186" s="733">
        <f t="shared" ref="C186:H186" si="79">SUM(C187:C188)</f>
        <v>29075343.499999993</v>
      </c>
      <c r="D186" s="734">
        <f t="shared" si="79"/>
        <v>37958403</v>
      </c>
      <c r="E186" s="735">
        <f t="shared" si="79"/>
        <v>32407419</v>
      </c>
      <c r="F186" s="735">
        <f t="shared" si="79"/>
        <v>5405673.2099999981</v>
      </c>
      <c r="G186" s="735">
        <f t="shared" si="79"/>
        <v>25767752.829999994</v>
      </c>
      <c r="H186" s="735">
        <f t="shared" si="79"/>
        <v>32407419</v>
      </c>
      <c r="I186" s="735">
        <f>G186-H186</f>
        <v>-6639666.1700000055</v>
      </c>
      <c r="J186" s="797">
        <f>IF(I186=0,"",I186/H186)</f>
        <v>-0.20488105424254877</v>
      </c>
      <c r="K186" s="749">
        <f>SUM(K187:K188)</f>
        <v>32407419</v>
      </c>
    </row>
    <row r="187" spans="1:11" x14ac:dyDescent="0.25">
      <c r="A187" s="492" t="str">
        <f t="shared" si="78"/>
        <v>Housing</v>
      </c>
      <c r="B187" s="354"/>
      <c r="C187" s="726">
        <v>29075343.499999993</v>
      </c>
      <c r="D187" s="727">
        <v>37958403</v>
      </c>
      <c r="E187" s="728">
        <v>32407419</v>
      </c>
      <c r="F187" s="728">
        <v>5405673.2099999981</v>
      </c>
      <c r="G187" s="728">
        <v>25767752.829999994</v>
      </c>
      <c r="H187" s="728">
        <f>E187/12*$L$1</f>
        <v>32407419</v>
      </c>
      <c r="I187" s="730">
        <f>G187-H187</f>
        <v>-6639666.1700000055</v>
      </c>
      <c r="J187" s="798">
        <f>IF(I187=0,"",I187/H187)</f>
        <v>-0.20488105424254877</v>
      </c>
      <c r="K187" s="783">
        <f>E187</f>
        <v>32407419</v>
      </c>
    </row>
    <row r="188" spans="1:11" x14ac:dyDescent="0.25">
      <c r="A188" s="492" t="str">
        <f t="shared" si="78"/>
        <v>Informal Settlements</v>
      </c>
      <c r="B188" s="354"/>
      <c r="C188" s="726">
        <v>0</v>
      </c>
      <c r="D188" s="727">
        <v>0</v>
      </c>
      <c r="E188" s="728">
        <v>0</v>
      </c>
      <c r="F188" s="728">
        <v>0</v>
      </c>
      <c r="G188" s="728">
        <v>0</v>
      </c>
      <c r="H188" s="728">
        <f>E188/12*$L$1</f>
        <v>0</v>
      </c>
      <c r="I188" s="730">
        <f>G188-H188</f>
        <v>0</v>
      </c>
      <c r="J188" s="798" t="str">
        <f>IF(I188=0,"",I188/H188)</f>
        <v/>
      </c>
      <c r="K188" s="783">
        <f>E188</f>
        <v>0</v>
      </c>
    </row>
    <row r="189" spans="1:11" x14ac:dyDescent="0.25">
      <c r="A189" s="465" t="str">
        <f t="shared" si="78"/>
        <v>Health</v>
      </c>
      <c r="B189" s="354"/>
      <c r="C189" s="733">
        <f t="shared" ref="C189:K189" si="80">SUM(C190:C196)</f>
        <v>96652.939999999988</v>
      </c>
      <c r="D189" s="734">
        <f t="shared" si="80"/>
        <v>100684</v>
      </c>
      <c r="E189" s="735">
        <f t="shared" si="80"/>
        <v>100684</v>
      </c>
      <c r="F189" s="735">
        <f t="shared" si="80"/>
        <v>14879.149999999998</v>
      </c>
      <c r="G189" s="735">
        <f t="shared" si="80"/>
        <v>89030.92</v>
      </c>
      <c r="H189" s="735">
        <f t="shared" si="80"/>
        <v>100684</v>
      </c>
      <c r="I189" s="735">
        <f t="shared" si="58"/>
        <v>-11653.080000000002</v>
      </c>
      <c r="J189" s="797">
        <f t="shared" si="59"/>
        <v>-0.11573914425330739</v>
      </c>
      <c r="K189" s="749">
        <f t="shared" si="80"/>
        <v>100684</v>
      </c>
    </row>
    <row r="190" spans="1:11" x14ac:dyDescent="0.25">
      <c r="A190" s="492" t="str">
        <f t="shared" ref="A190:A208" si="81">A67</f>
        <v>Ambulance</v>
      </c>
      <c r="B190" s="354"/>
      <c r="C190" s="726">
        <v>0</v>
      </c>
      <c r="D190" s="727">
        <v>0</v>
      </c>
      <c r="E190" s="728">
        <v>0</v>
      </c>
      <c r="F190" s="728">
        <v>0</v>
      </c>
      <c r="G190" s="728">
        <v>0</v>
      </c>
      <c r="H190" s="728">
        <f t="shared" ref="H190:H196" si="82">E190/12*$L$1</f>
        <v>0</v>
      </c>
      <c r="I190" s="730">
        <f t="shared" si="58"/>
        <v>0</v>
      </c>
      <c r="J190" s="798" t="str">
        <f t="shared" si="59"/>
        <v/>
      </c>
      <c r="K190" s="783">
        <f t="shared" ref="K190:K196" si="83">E190</f>
        <v>0</v>
      </c>
    </row>
    <row r="191" spans="1:11" x14ac:dyDescent="0.25">
      <c r="A191" s="492" t="str">
        <f t="shared" si="81"/>
        <v>Health Services</v>
      </c>
      <c r="B191" s="354"/>
      <c r="C191" s="726">
        <v>96652.939999999988</v>
      </c>
      <c r="D191" s="727">
        <v>100684</v>
      </c>
      <c r="E191" s="728">
        <v>100684</v>
      </c>
      <c r="F191" s="728">
        <v>14879.149999999998</v>
      </c>
      <c r="G191" s="728">
        <v>89030.92</v>
      </c>
      <c r="H191" s="728">
        <f t="shared" si="82"/>
        <v>100684</v>
      </c>
      <c r="I191" s="730">
        <f t="shared" si="58"/>
        <v>-11653.080000000002</v>
      </c>
      <c r="J191" s="798">
        <f t="shared" si="59"/>
        <v>-0.11573914425330739</v>
      </c>
      <c r="K191" s="783">
        <f t="shared" si="83"/>
        <v>100684</v>
      </c>
    </row>
    <row r="192" spans="1:11" x14ac:dyDescent="0.25">
      <c r="A192" s="492" t="str">
        <f t="shared" si="81"/>
        <v>Laboratory Services</v>
      </c>
      <c r="B192" s="354"/>
      <c r="C192" s="726">
        <v>0</v>
      </c>
      <c r="D192" s="727">
        <v>0</v>
      </c>
      <c r="E192" s="728">
        <v>0</v>
      </c>
      <c r="F192" s="728">
        <v>0</v>
      </c>
      <c r="G192" s="728">
        <v>0</v>
      </c>
      <c r="H192" s="728">
        <f t="shared" si="82"/>
        <v>0</v>
      </c>
      <c r="I192" s="730">
        <f t="shared" si="58"/>
        <v>0</v>
      </c>
      <c r="J192" s="798" t="str">
        <f t="shared" si="59"/>
        <v/>
      </c>
      <c r="K192" s="783">
        <f t="shared" si="83"/>
        <v>0</v>
      </c>
    </row>
    <row r="193" spans="1:11" x14ac:dyDescent="0.25">
      <c r="A193" s="492" t="str">
        <f t="shared" si="81"/>
        <v>Food Control</v>
      </c>
      <c r="B193" s="354"/>
      <c r="C193" s="726">
        <v>0</v>
      </c>
      <c r="D193" s="727">
        <v>0</v>
      </c>
      <c r="E193" s="728">
        <v>0</v>
      </c>
      <c r="F193" s="728">
        <v>0</v>
      </c>
      <c r="G193" s="728">
        <v>0</v>
      </c>
      <c r="H193" s="728">
        <f t="shared" si="82"/>
        <v>0</v>
      </c>
      <c r="I193" s="730">
        <f t="shared" si="58"/>
        <v>0</v>
      </c>
      <c r="J193" s="798" t="str">
        <f t="shared" si="59"/>
        <v/>
      </c>
      <c r="K193" s="783">
        <f t="shared" si="83"/>
        <v>0</v>
      </c>
    </row>
    <row r="194" spans="1:11" ht="24" customHeight="1" x14ac:dyDescent="0.25">
      <c r="A194" s="492" t="str">
        <f t="shared" si="81"/>
        <v>Health Surveillance and Prevention of Communicable Diseases including immunizations</v>
      </c>
      <c r="B194" s="354"/>
      <c r="C194" s="726">
        <v>0</v>
      </c>
      <c r="D194" s="727">
        <v>0</v>
      </c>
      <c r="E194" s="728">
        <v>0</v>
      </c>
      <c r="F194" s="728">
        <v>0</v>
      </c>
      <c r="G194" s="728">
        <v>0</v>
      </c>
      <c r="H194" s="728">
        <f t="shared" si="82"/>
        <v>0</v>
      </c>
      <c r="I194" s="730">
        <f t="shared" si="58"/>
        <v>0</v>
      </c>
      <c r="J194" s="798" t="str">
        <f t="shared" si="59"/>
        <v/>
      </c>
      <c r="K194" s="783">
        <f t="shared" si="83"/>
        <v>0</v>
      </c>
    </row>
    <row r="195" spans="1:11" x14ac:dyDescent="0.25">
      <c r="A195" s="492" t="str">
        <f t="shared" si="81"/>
        <v>Vector Control</v>
      </c>
      <c r="B195" s="354"/>
      <c r="C195" s="726">
        <v>0</v>
      </c>
      <c r="D195" s="727">
        <v>0</v>
      </c>
      <c r="E195" s="728">
        <v>0</v>
      </c>
      <c r="F195" s="728">
        <v>0</v>
      </c>
      <c r="G195" s="728">
        <v>0</v>
      </c>
      <c r="H195" s="728">
        <f t="shared" si="82"/>
        <v>0</v>
      </c>
      <c r="I195" s="730">
        <f t="shared" si="58"/>
        <v>0</v>
      </c>
      <c r="J195" s="798" t="str">
        <f t="shared" si="59"/>
        <v/>
      </c>
      <c r="K195" s="783">
        <f t="shared" si="83"/>
        <v>0</v>
      </c>
    </row>
    <row r="196" spans="1:11" x14ac:dyDescent="0.25">
      <c r="A196" s="492" t="str">
        <f t="shared" si="81"/>
        <v>Chemical Safety</v>
      </c>
      <c r="B196" s="354"/>
      <c r="C196" s="726">
        <v>0</v>
      </c>
      <c r="D196" s="727">
        <v>0</v>
      </c>
      <c r="E196" s="728">
        <v>0</v>
      </c>
      <c r="F196" s="728">
        <v>0</v>
      </c>
      <c r="G196" s="728">
        <v>0</v>
      </c>
      <c r="H196" s="728">
        <f t="shared" si="82"/>
        <v>0</v>
      </c>
      <c r="I196" s="730">
        <f t="shared" si="58"/>
        <v>0</v>
      </c>
      <c r="J196" s="798" t="str">
        <f t="shared" si="59"/>
        <v/>
      </c>
      <c r="K196" s="783">
        <f t="shared" si="83"/>
        <v>0</v>
      </c>
    </row>
    <row r="197" spans="1:11" x14ac:dyDescent="0.25">
      <c r="A197" s="345" t="str">
        <f t="shared" si="81"/>
        <v>Economic and environmental services</v>
      </c>
      <c r="B197" s="354"/>
      <c r="C197" s="806">
        <f t="shared" ref="C197:K197" si="84">C198+C209+C216</f>
        <v>173798971.54000002</v>
      </c>
      <c r="D197" s="810">
        <f t="shared" si="84"/>
        <v>138813972</v>
      </c>
      <c r="E197" s="781">
        <f t="shared" si="84"/>
        <v>166969906</v>
      </c>
      <c r="F197" s="781">
        <f t="shared" si="84"/>
        <v>1533975.0800000052</v>
      </c>
      <c r="G197" s="781">
        <f t="shared" si="84"/>
        <v>162279975.67999998</v>
      </c>
      <c r="H197" s="781">
        <f t="shared" si="84"/>
        <v>166969906</v>
      </c>
      <c r="I197" s="781">
        <f t="shared" si="58"/>
        <v>-4689930.3200000226</v>
      </c>
      <c r="J197" s="799">
        <f t="shared" si="59"/>
        <v>-2.8088476734244687E-2</v>
      </c>
      <c r="K197" s="782">
        <f t="shared" si="84"/>
        <v>166969906</v>
      </c>
    </row>
    <row r="198" spans="1:11" x14ac:dyDescent="0.25">
      <c r="A198" s="465" t="str">
        <f t="shared" si="81"/>
        <v>Planning and development</v>
      </c>
      <c r="B198" s="354"/>
      <c r="C198" s="733">
        <f t="shared" ref="C198:K198" si="85">SUM(C199:C208)</f>
        <v>14353484.240000002</v>
      </c>
      <c r="D198" s="734">
        <f t="shared" si="85"/>
        <v>15669050</v>
      </c>
      <c r="E198" s="735">
        <f t="shared" si="85"/>
        <v>14653250</v>
      </c>
      <c r="F198" s="735">
        <f t="shared" si="85"/>
        <v>1723846.9</v>
      </c>
      <c r="G198" s="735">
        <f t="shared" si="85"/>
        <v>15237873.890000001</v>
      </c>
      <c r="H198" s="735">
        <f t="shared" si="85"/>
        <v>14653250</v>
      </c>
      <c r="I198" s="735">
        <f t="shared" si="58"/>
        <v>584623.8900000006</v>
      </c>
      <c r="J198" s="797">
        <f t="shared" si="59"/>
        <v>3.9897216658420526E-2</v>
      </c>
      <c r="K198" s="749">
        <f t="shared" si="85"/>
        <v>14653250</v>
      </c>
    </row>
    <row r="199" spans="1:11" x14ac:dyDescent="0.25">
      <c r="A199" s="492" t="str">
        <f t="shared" si="81"/>
        <v>Billboards</v>
      </c>
      <c r="B199" s="354"/>
      <c r="C199" s="726">
        <v>0</v>
      </c>
      <c r="D199" s="727">
        <v>0</v>
      </c>
      <c r="E199" s="728">
        <v>0</v>
      </c>
      <c r="F199" s="728">
        <v>0</v>
      </c>
      <c r="G199" s="728">
        <v>0</v>
      </c>
      <c r="H199" s="728">
        <f t="shared" ref="H199:H208" si="86">E199/12*$L$1</f>
        <v>0</v>
      </c>
      <c r="I199" s="730">
        <f t="shared" si="58"/>
        <v>0</v>
      </c>
      <c r="J199" s="798" t="str">
        <f t="shared" si="59"/>
        <v/>
      </c>
      <c r="K199" s="783">
        <f t="shared" ref="K199:K208" si="87">E199</f>
        <v>0</v>
      </c>
    </row>
    <row r="200" spans="1:11" ht="22.5" x14ac:dyDescent="0.25">
      <c r="A200" s="492" t="str">
        <f t="shared" si="81"/>
        <v>Corporate Wide Strategic Planning (IDPs, LEDs)</v>
      </c>
      <c r="B200" s="354"/>
      <c r="C200" s="726">
        <v>5824592.9800000014</v>
      </c>
      <c r="D200" s="727">
        <v>5908770</v>
      </c>
      <c r="E200" s="728">
        <v>5001388</v>
      </c>
      <c r="F200" s="728">
        <v>497385.75999999995</v>
      </c>
      <c r="G200" s="728">
        <v>4835856.03</v>
      </c>
      <c r="H200" s="728">
        <f t="shared" si="86"/>
        <v>5001388</v>
      </c>
      <c r="I200" s="730">
        <f t="shared" si="58"/>
        <v>-165531.96999999974</v>
      </c>
      <c r="J200" s="798">
        <f t="shared" si="59"/>
        <v>-3.3097206215554509E-2</v>
      </c>
      <c r="K200" s="783">
        <f t="shared" si="87"/>
        <v>5001388</v>
      </c>
    </row>
    <row r="201" spans="1:11" x14ac:dyDescent="0.25">
      <c r="A201" s="492" t="str">
        <f t="shared" si="81"/>
        <v>Central City Improvement District</v>
      </c>
      <c r="B201" s="354"/>
      <c r="C201" s="726">
        <v>0</v>
      </c>
      <c r="D201" s="727">
        <v>0</v>
      </c>
      <c r="E201" s="728">
        <v>0</v>
      </c>
      <c r="F201" s="728">
        <v>0</v>
      </c>
      <c r="G201" s="728">
        <v>0</v>
      </c>
      <c r="H201" s="728">
        <f t="shared" si="86"/>
        <v>0</v>
      </c>
      <c r="I201" s="730">
        <f t="shared" si="58"/>
        <v>0</v>
      </c>
      <c r="J201" s="798" t="str">
        <f t="shared" si="59"/>
        <v/>
      </c>
      <c r="K201" s="783">
        <f t="shared" si="87"/>
        <v>0</v>
      </c>
    </row>
    <row r="202" spans="1:11" x14ac:dyDescent="0.25">
      <c r="A202" s="492" t="str">
        <f t="shared" si="81"/>
        <v>Development Facilitation</v>
      </c>
      <c r="B202" s="354"/>
      <c r="C202" s="726">
        <v>0</v>
      </c>
      <c r="D202" s="727">
        <v>0</v>
      </c>
      <c r="E202" s="728">
        <v>0</v>
      </c>
      <c r="F202" s="728">
        <v>0</v>
      </c>
      <c r="G202" s="728">
        <v>0</v>
      </c>
      <c r="H202" s="728">
        <f t="shared" si="86"/>
        <v>0</v>
      </c>
      <c r="I202" s="730">
        <f t="shared" si="58"/>
        <v>0</v>
      </c>
      <c r="J202" s="798" t="str">
        <f t="shared" si="59"/>
        <v/>
      </c>
      <c r="K202" s="783">
        <f t="shared" si="87"/>
        <v>0</v>
      </c>
    </row>
    <row r="203" spans="1:11" x14ac:dyDescent="0.25">
      <c r="A203" s="492" t="str">
        <f t="shared" si="81"/>
        <v>Economic Development/Planning</v>
      </c>
      <c r="B203" s="354"/>
      <c r="C203" s="726">
        <v>0</v>
      </c>
      <c r="D203" s="727">
        <v>0</v>
      </c>
      <c r="E203" s="728">
        <v>0</v>
      </c>
      <c r="F203" s="728">
        <v>0</v>
      </c>
      <c r="G203" s="728">
        <v>0</v>
      </c>
      <c r="H203" s="728">
        <f t="shared" si="86"/>
        <v>0</v>
      </c>
      <c r="I203" s="730">
        <f t="shared" si="58"/>
        <v>0</v>
      </c>
      <c r="J203" s="798" t="str">
        <f t="shared" si="59"/>
        <v/>
      </c>
      <c r="K203" s="783">
        <f t="shared" si="87"/>
        <v>0</v>
      </c>
    </row>
    <row r="204" spans="1:11" x14ac:dyDescent="0.25">
      <c r="A204" s="492" t="str">
        <f t="shared" si="81"/>
        <v>Regional Planning and Development</v>
      </c>
      <c r="B204" s="354"/>
      <c r="C204" s="726">
        <v>0</v>
      </c>
      <c r="D204" s="727">
        <v>0</v>
      </c>
      <c r="E204" s="728">
        <v>0</v>
      </c>
      <c r="F204" s="728">
        <v>0</v>
      </c>
      <c r="G204" s="728">
        <v>0</v>
      </c>
      <c r="H204" s="728">
        <f t="shared" si="86"/>
        <v>0</v>
      </c>
      <c r="I204" s="730">
        <f t="shared" si="58"/>
        <v>0</v>
      </c>
      <c r="J204" s="798" t="str">
        <f t="shared" si="59"/>
        <v/>
      </c>
      <c r="K204" s="783">
        <f t="shared" si="87"/>
        <v>0</v>
      </c>
    </row>
    <row r="205" spans="1:11" ht="22.5" x14ac:dyDescent="0.25">
      <c r="A205" s="492" t="str">
        <f t="shared" si="81"/>
        <v>Town Planning, Building Regulations and Enforcement, and City Engineer</v>
      </c>
      <c r="B205" s="354"/>
      <c r="C205" s="726">
        <v>7288135.1199999992</v>
      </c>
      <c r="D205" s="727">
        <v>8720610</v>
      </c>
      <c r="E205" s="728">
        <v>8603121</v>
      </c>
      <c r="F205" s="728">
        <v>892674.23</v>
      </c>
      <c r="G205" s="728">
        <v>8716304.879999999</v>
      </c>
      <c r="H205" s="728">
        <f t="shared" si="86"/>
        <v>8603121</v>
      </c>
      <c r="I205" s="730">
        <f t="shared" si="58"/>
        <v>113183.87999999896</v>
      </c>
      <c r="J205" s="798">
        <f t="shared" si="59"/>
        <v>1.3156141823414893E-2</v>
      </c>
      <c r="K205" s="783">
        <f t="shared" si="87"/>
        <v>8603121</v>
      </c>
    </row>
    <row r="206" spans="1:11" x14ac:dyDescent="0.25">
      <c r="A206" s="492" t="str">
        <f t="shared" si="81"/>
        <v>Project Management Unit</v>
      </c>
      <c r="B206" s="354"/>
      <c r="C206" s="726">
        <v>1240756.1399999997</v>
      </c>
      <c r="D206" s="727">
        <v>1039670</v>
      </c>
      <c r="E206" s="728">
        <v>1048741</v>
      </c>
      <c r="F206" s="728">
        <v>333786.90999999997</v>
      </c>
      <c r="G206" s="728">
        <v>1685712.98</v>
      </c>
      <c r="H206" s="728">
        <f t="shared" si="86"/>
        <v>1048741</v>
      </c>
      <c r="I206" s="730">
        <f t="shared" si="58"/>
        <v>636971.98</v>
      </c>
      <c r="J206" s="798">
        <f t="shared" si="59"/>
        <v>0.6073682443997136</v>
      </c>
      <c r="K206" s="783">
        <f t="shared" si="87"/>
        <v>1048741</v>
      </c>
    </row>
    <row r="207" spans="1:11" x14ac:dyDescent="0.25">
      <c r="A207" s="492" t="str">
        <f t="shared" si="81"/>
        <v>Provincial Planning</v>
      </c>
      <c r="B207" s="354"/>
      <c r="C207" s="726">
        <v>0</v>
      </c>
      <c r="D207" s="727">
        <v>0</v>
      </c>
      <c r="E207" s="728">
        <v>0</v>
      </c>
      <c r="F207" s="728">
        <v>0</v>
      </c>
      <c r="G207" s="728">
        <v>0</v>
      </c>
      <c r="H207" s="728">
        <f t="shared" si="86"/>
        <v>0</v>
      </c>
      <c r="I207" s="730">
        <f t="shared" si="58"/>
        <v>0</v>
      </c>
      <c r="J207" s="798" t="str">
        <f t="shared" si="59"/>
        <v/>
      </c>
      <c r="K207" s="783">
        <f t="shared" si="87"/>
        <v>0</v>
      </c>
    </row>
    <row r="208" spans="1:11" x14ac:dyDescent="0.25">
      <c r="A208" s="492" t="str">
        <f t="shared" si="81"/>
        <v>Support to Local Municipalities</v>
      </c>
      <c r="B208" s="354"/>
      <c r="C208" s="726">
        <v>0</v>
      </c>
      <c r="D208" s="727">
        <v>0</v>
      </c>
      <c r="E208" s="728">
        <v>0</v>
      </c>
      <c r="F208" s="728">
        <v>0</v>
      </c>
      <c r="G208" s="728">
        <v>0</v>
      </c>
      <c r="H208" s="728">
        <f t="shared" si="86"/>
        <v>0</v>
      </c>
      <c r="I208" s="730">
        <f t="shared" si="58"/>
        <v>0</v>
      </c>
      <c r="J208" s="798" t="str">
        <f t="shared" si="59"/>
        <v/>
      </c>
      <c r="K208" s="783">
        <f t="shared" si="87"/>
        <v>0</v>
      </c>
    </row>
    <row r="209" spans="1:11" x14ac:dyDescent="0.25">
      <c r="A209" s="465" t="str">
        <f t="shared" ref="A209:A248" si="88">A86</f>
        <v>Road transport</v>
      </c>
      <c r="B209" s="354"/>
      <c r="C209" s="733">
        <f t="shared" ref="C209:K209" si="89">SUM(C210:C215)</f>
        <v>156365941.55000001</v>
      </c>
      <c r="D209" s="734">
        <f t="shared" si="89"/>
        <v>120378897</v>
      </c>
      <c r="E209" s="735">
        <f t="shared" si="89"/>
        <v>149274005</v>
      </c>
      <c r="F209" s="735">
        <f t="shared" si="89"/>
        <v>-246607.23999999464</v>
      </c>
      <c r="G209" s="735">
        <f t="shared" si="89"/>
        <v>145479484.19999999</v>
      </c>
      <c r="H209" s="735">
        <f t="shared" si="89"/>
        <v>149274005</v>
      </c>
      <c r="I209" s="735">
        <f t="shared" si="58"/>
        <v>-3794520.8000000119</v>
      </c>
      <c r="J209" s="797">
        <f t="shared" si="59"/>
        <v>-2.5419836494639584E-2</v>
      </c>
      <c r="K209" s="749">
        <f t="shared" si="89"/>
        <v>149274005</v>
      </c>
    </row>
    <row r="210" spans="1:11" ht="22.5" x14ac:dyDescent="0.25">
      <c r="A210" s="492" t="str">
        <f t="shared" si="88"/>
        <v>Police Forces, Traffic and Street Parking Control</v>
      </c>
      <c r="B210" s="354"/>
      <c r="C210" s="726">
        <v>104144718.42000002</v>
      </c>
      <c r="D210" s="727">
        <v>62019836</v>
      </c>
      <c r="E210" s="728">
        <v>95357544</v>
      </c>
      <c r="F210" s="728">
        <v>-6382890.1199999992</v>
      </c>
      <c r="G210" s="728">
        <v>95371438.639999971</v>
      </c>
      <c r="H210" s="728">
        <f t="shared" ref="H210:H215" si="90">E210/12*$L$1</f>
        <v>95357544</v>
      </c>
      <c r="I210" s="730">
        <f t="shared" si="58"/>
        <v>13894.639999970794</v>
      </c>
      <c r="J210" s="798">
        <f t="shared" si="59"/>
        <v>1.4571096755565342E-4</v>
      </c>
      <c r="K210" s="783">
        <f t="shared" ref="K210:K215" si="91">E210</f>
        <v>95357544</v>
      </c>
    </row>
    <row r="211" spans="1:11" x14ac:dyDescent="0.25">
      <c r="A211" s="492" t="str">
        <f t="shared" si="88"/>
        <v>Pounds</v>
      </c>
      <c r="B211" s="354"/>
      <c r="C211" s="726">
        <v>0</v>
      </c>
      <c r="D211" s="727">
        <v>0</v>
      </c>
      <c r="E211" s="728">
        <v>0</v>
      </c>
      <c r="F211" s="728">
        <v>0</v>
      </c>
      <c r="G211" s="728">
        <v>0</v>
      </c>
      <c r="H211" s="728">
        <f t="shared" si="90"/>
        <v>0</v>
      </c>
      <c r="I211" s="730">
        <f t="shared" si="58"/>
        <v>0</v>
      </c>
      <c r="J211" s="798" t="str">
        <f t="shared" si="59"/>
        <v/>
      </c>
      <c r="K211" s="783">
        <f t="shared" si="91"/>
        <v>0</v>
      </c>
    </row>
    <row r="212" spans="1:11" x14ac:dyDescent="0.25">
      <c r="A212" s="492" t="str">
        <f t="shared" si="88"/>
        <v>Public Transport</v>
      </c>
      <c r="B212" s="354"/>
      <c r="C212" s="726">
        <v>0</v>
      </c>
      <c r="D212" s="727">
        <v>0</v>
      </c>
      <c r="E212" s="728">
        <v>0</v>
      </c>
      <c r="F212" s="728">
        <v>0</v>
      </c>
      <c r="G212" s="728">
        <v>0</v>
      </c>
      <c r="H212" s="728">
        <f t="shared" si="90"/>
        <v>0</v>
      </c>
      <c r="I212" s="730">
        <f t="shared" si="58"/>
        <v>0</v>
      </c>
      <c r="J212" s="798" t="str">
        <f t="shared" si="59"/>
        <v/>
      </c>
      <c r="K212" s="783">
        <f t="shared" si="91"/>
        <v>0</v>
      </c>
    </row>
    <row r="213" spans="1:11" x14ac:dyDescent="0.25">
      <c r="A213" s="492" t="str">
        <f t="shared" si="88"/>
        <v>Road and Traffic Regulation</v>
      </c>
      <c r="B213" s="354"/>
      <c r="C213" s="726">
        <v>12763251.529999999</v>
      </c>
      <c r="D213" s="727">
        <v>17151177</v>
      </c>
      <c r="E213" s="728">
        <v>14689491</v>
      </c>
      <c r="F213" s="728">
        <v>935254.2</v>
      </c>
      <c r="G213" s="728">
        <v>12224265.889999997</v>
      </c>
      <c r="H213" s="728">
        <f t="shared" si="90"/>
        <v>14689491</v>
      </c>
      <c r="I213" s="730">
        <f t="shared" si="58"/>
        <v>-2465225.1100000031</v>
      </c>
      <c r="J213" s="798">
        <f t="shared" si="59"/>
        <v>-0.1678223643011186</v>
      </c>
      <c r="K213" s="783">
        <f t="shared" si="91"/>
        <v>14689491</v>
      </c>
    </row>
    <row r="214" spans="1:11" x14ac:dyDescent="0.25">
      <c r="A214" s="492" t="str">
        <f t="shared" si="88"/>
        <v>Roads</v>
      </c>
      <c r="B214" s="354"/>
      <c r="C214" s="726">
        <v>39457971.600000001</v>
      </c>
      <c r="D214" s="727">
        <v>41207884</v>
      </c>
      <c r="E214" s="728">
        <v>39226970</v>
      </c>
      <c r="F214" s="728">
        <v>5201028.6800000044</v>
      </c>
      <c r="G214" s="728">
        <v>37883779.670000009</v>
      </c>
      <c r="H214" s="728">
        <f t="shared" si="90"/>
        <v>39226970</v>
      </c>
      <c r="I214" s="730">
        <f t="shared" si="58"/>
        <v>-1343190.3299999908</v>
      </c>
      <c r="J214" s="798">
        <f t="shared" si="59"/>
        <v>-3.4241500936727738E-2</v>
      </c>
      <c r="K214" s="783">
        <f t="shared" si="91"/>
        <v>39226970</v>
      </c>
    </row>
    <row r="215" spans="1:11" x14ac:dyDescent="0.25">
      <c r="A215" s="492" t="str">
        <f t="shared" si="88"/>
        <v>Taxi Ranks</v>
      </c>
      <c r="B215" s="354"/>
      <c r="C215" s="726">
        <v>0</v>
      </c>
      <c r="D215" s="727">
        <v>0</v>
      </c>
      <c r="E215" s="728">
        <v>0</v>
      </c>
      <c r="F215" s="728">
        <v>0</v>
      </c>
      <c r="G215" s="728">
        <v>0</v>
      </c>
      <c r="H215" s="728">
        <f t="shared" si="90"/>
        <v>0</v>
      </c>
      <c r="I215" s="730">
        <f t="shared" si="58"/>
        <v>0</v>
      </c>
      <c r="J215" s="798" t="str">
        <f t="shared" si="59"/>
        <v/>
      </c>
      <c r="K215" s="783">
        <f t="shared" si="91"/>
        <v>0</v>
      </c>
    </row>
    <row r="216" spans="1:11" x14ac:dyDescent="0.25">
      <c r="A216" s="465" t="str">
        <f t="shared" si="88"/>
        <v>Environmental protection</v>
      </c>
      <c r="B216" s="354"/>
      <c r="C216" s="733">
        <f t="shared" ref="C216:K216" si="92">SUM(C217:C222)</f>
        <v>3079545.7500000005</v>
      </c>
      <c r="D216" s="734">
        <f t="shared" si="92"/>
        <v>2766025</v>
      </c>
      <c r="E216" s="735">
        <f t="shared" si="92"/>
        <v>3042651</v>
      </c>
      <c r="F216" s="735">
        <f t="shared" si="92"/>
        <v>56735.420000000006</v>
      </c>
      <c r="G216" s="735">
        <f t="shared" si="92"/>
        <v>1562617.5899999999</v>
      </c>
      <c r="H216" s="735">
        <f t="shared" si="92"/>
        <v>3042651</v>
      </c>
      <c r="I216" s="735">
        <f t="shared" si="58"/>
        <v>-1480033.4100000001</v>
      </c>
      <c r="J216" s="797">
        <f t="shared" si="59"/>
        <v>-0.48642891018391532</v>
      </c>
      <c r="K216" s="749">
        <f t="shared" si="92"/>
        <v>3042651</v>
      </c>
    </row>
    <row r="217" spans="1:11" x14ac:dyDescent="0.25">
      <c r="A217" s="492" t="str">
        <f t="shared" si="88"/>
        <v>Biodiversity and Landscape</v>
      </c>
      <c r="B217" s="354"/>
      <c r="C217" s="726">
        <v>3079545.7500000005</v>
      </c>
      <c r="D217" s="727">
        <v>2766025</v>
      </c>
      <c r="E217" s="728">
        <v>3042651</v>
      </c>
      <c r="F217" s="728">
        <v>56735.420000000006</v>
      </c>
      <c r="G217" s="728">
        <v>1562617.5899999999</v>
      </c>
      <c r="H217" s="728">
        <f t="shared" ref="H217:H222" si="93">E217/12*$L$1</f>
        <v>3042651</v>
      </c>
      <c r="I217" s="730">
        <f t="shared" si="58"/>
        <v>-1480033.4100000001</v>
      </c>
      <c r="J217" s="798">
        <f t="shared" si="59"/>
        <v>-0.48642891018391532</v>
      </c>
      <c r="K217" s="783">
        <f t="shared" ref="K217:K222" si="94">E217</f>
        <v>3042651</v>
      </c>
    </row>
    <row r="218" spans="1:11" x14ac:dyDescent="0.25">
      <c r="A218" s="492" t="str">
        <f t="shared" si="88"/>
        <v>Coastal Protection</v>
      </c>
      <c r="B218" s="354"/>
      <c r="C218" s="726">
        <v>0</v>
      </c>
      <c r="D218" s="727">
        <v>0</v>
      </c>
      <c r="E218" s="728">
        <v>0</v>
      </c>
      <c r="F218" s="728">
        <v>0</v>
      </c>
      <c r="G218" s="728">
        <v>0</v>
      </c>
      <c r="H218" s="728">
        <f t="shared" si="93"/>
        <v>0</v>
      </c>
      <c r="I218" s="730">
        <f t="shared" si="58"/>
        <v>0</v>
      </c>
      <c r="J218" s="798" t="str">
        <f t="shared" si="59"/>
        <v/>
      </c>
      <c r="K218" s="783">
        <f t="shared" si="94"/>
        <v>0</v>
      </c>
    </row>
    <row r="219" spans="1:11" x14ac:dyDescent="0.25">
      <c r="A219" s="492" t="str">
        <f t="shared" si="88"/>
        <v>Indigenous Forests</v>
      </c>
      <c r="B219" s="354"/>
      <c r="C219" s="726">
        <v>0</v>
      </c>
      <c r="D219" s="727">
        <v>0</v>
      </c>
      <c r="E219" s="728">
        <v>0</v>
      </c>
      <c r="F219" s="728">
        <v>0</v>
      </c>
      <c r="G219" s="728">
        <v>0</v>
      </c>
      <c r="H219" s="728">
        <f t="shared" si="93"/>
        <v>0</v>
      </c>
      <c r="I219" s="730">
        <f t="shared" si="58"/>
        <v>0</v>
      </c>
      <c r="J219" s="798" t="str">
        <f t="shared" si="59"/>
        <v/>
      </c>
      <c r="K219" s="783">
        <f t="shared" si="94"/>
        <v>0</v>
      </c>
    </row>
    <row r="220" spans="1:11" x14ac:dyDescent="0.25">
      <c r="A220" s="492" t="str">
        <f t="shared" si="88"/>
        <v>Nature Conservation</v>
      </c>
      <c r="B220" s="354"/>
      <c r="C220" s="726">
        <v>0</v>
      </c>
      <c r="D220" s="727">
        <v>0</v>
      </c>
      <c r="E220" s="728">
        <v>0</v>
      </c>
      <c r="F220" s="728">
        <v>0</v>
      </c>
      <c r="G220" s="728">
        <v>0</v>
      </c>
      <c r="H220" s="728">
        <f t="shared" si="93"/>
        <v>0</v>
      </c>
      <c r="I220" s="730">
        <f t="shared" si="58"/>
        <v>0</v>
      </c>
      <c r="J220" s="798" t="str">
        <f t="shared" si="59"/>
        <v/>
      </c>
      <c r="K220" s="783">
        <f t="shared" si="94"/>
        <v>0</v>
      </c>
    </row>
    <row r="221" spans="1:11" x14ac:dyDescent="0.25">
      <c r="A221" s="492" t="str">
        <f t="shared" si="88"/>
        <v>Pollution Control</v>
      </c>
      <c r="B221" s="354"/>
      <c r="C221" s="726">
        <v>0</v>
      </c>
      <c r="D221" s="727">
        <v>0</v>
      </c>
      <c r="E221" s="728">
        <v>0</v>
      </c>
      <c r="F221" s="728">
        <v>0</v>
      </c>
      <c r="G221" s="728">
        <v>0</v>
      </c>
      <c r="H221" s="728">
        <f t="shared" si="93"/>
        <v>0</v>
      </c>
      <c r="I221" s="730">
        <f t="shared" si="58"/>
        <v>0</v>
      </c>
      <c r="J221" s="798" t="str">
        <f t="shared" si="59"/>
        <v/>
      </c>
      <c r="K221" s="783">
        <f t="shared" si="94"/>
        <v>0</v>
      </c>
    </row>
    <row r="222" spans="1:11" x14ac:dyDescent="0.25">
      <c r="A222" s="492" t="str">
        <f t="shared" si="88"/>
        <v>Soil Conservation</v>
      </c>
      <c r="B222" s="354"/>
      <c r="C222" s="726">
        <v>0</v>
      </c>
      <c r="D222" s="727">
        <v>0</v>
      </c>
      <c r="E222" s="728">
        <v>0</v>
      </c>
      <c r="F222" s="728">
        <v>0</v>
      </c>
      <c r="G222" s="728">
        <v>0</v>
      </c>
      <c r="H222" s="728">
        <f t="shared" si="93"/>
        <v>0</v>
      </c>
      <c r="I222" s="730">
        <f t="shared" si="58"/>
        <v>0</v>
      </c>
      <c r="J222" s="798" t="str">
        <f t="shared" si="59"/>
        <v/>
      </c>
      <c r="K222" s="783">
        <f t="shared" si="94"/>
        <v>0</v>
      </c>
    </row>
    <row r="223" spans="1:11" x14ac:dyDescent="0.25">
      <c r="A223" s="345" t="str">
        <f t="shared" si="88"/>
        <v>Trading services</v>
      </c>
      <c r="B223" s="354"/>
      <c r="C223" s="806">
        <f>C224+C228+C232+C237</f>
        <v>494093514.42999995</v>
      </c>
      <c r="D223" s="810">
        <f t="shared" ref="D223:I223" si="95">D224+D228+D232+D237</f>
        <v>528462579</v>
      </c>
      <c r="E223" s="781">
        <f t="shared" si="95"/>
        <v>528972963.00000006</v>
      </c>
      <c r="F223" s="781">
        <f t="shared" si="95"/>
        <v>47191449.590000004</v>
      </c>
      <c r="G223" s="781">
        <f t="shared" si="95"/>
        <v>450141181.50999993</v>
      </c>
      <c r="H223" s="781">
        <f t="shared" si="95"/>
        <v>528972963.00000006</v>
      </c>
      <c r="I223" s="781">
        <f t="shared" si="95"/>
        <v>-78831781.490000129</v>
      </c>
      <c r="J223" s="799">
        <f t="shared" si="59"/>
        <v>-0.1490279976559031</v>
      </c>
      <c r="K223" s="782">
        <f>K224+K228+K232+K237</f>
        <v>528972963.00000006</v>
      </c>
    </row>
    <row r="224" spans="1:11" x14ac:dyDescent="0.25">
      <c r="A224" s="465" t="str">
        <f t="shared" si="88"/>
        <v>Energy sources</v>
      </c>
      <c r="B224" s="354"/>
      <c r="C224" s="733">
        <f t="shared" ref="C224:K224" si="96">SUM(C225:C227)</f>
        <v>325776724.86000001</v>
      </c>
      <c r="D224" s="734">
        <f t="shared" si="96"/>
        <v>360738437</v>
      </c>
      <c r="E224" s="735">
        <f t="shared" si="96"/>
        <v>355381115.00000006</v>
      </c>
      <c r="F224" s="735">
        <f t="shared" si="96"/>
        <v>31030458.190000009</v>
      </c>
      <c r="G224" s="735">
        <f t="shared" si="96"/>
        <v>312247968.40999991</v>
      </c>
      <c r="H224" s="735">
        <f t="shared" si="96"/>
        <v>355381115.00000006</v>
      </c>
      <c r="I224" s="735">
        <f t="shared" si="58"/>
        <v>-43133146.590000153</v>
      </c>
      <c r="J224" s="797">
        <f t="shared" si="59"/>
        <v>-0.12137152135954142</v>
      </c>
      <c r="K224" s="749">
        <f t="shared" si="96"/>
        <v>355381115.00000006</v>
      </c>
    </row>
    <row r="225" spans="1:11" x14ac:dyDescent="0.25">
      <c r="A225" s="492" t="str">
        <f t="shared" si="88"/>
        <v xml:space="preserve">Electricity </v>
      </c>
      <c r="B225" s="354"/>
      <c r="C225" s="726">
        <v>323250923.81</v>
      </c>
      <c r="D225" s="727">
        <v>356746112</v>
      </c>
      <c r="E225" s="728">
        <v>351388790.00000006</v>
      </c>
      <c r="F225" s="728">
        <v>30129159.390000008</v>
      </c>
      <c r="G225" s="728">
        <v>309094181.82999992</v>
      </c>
      <c r="H225" s="728">
        <f>E225/12*$L$1</f>
        <v>351388790.00000006</v>
      </c>
      <c r="I225" s="730">
        <f t="shared" si="58"/>
        <v>-42294608.170000136</v>
      </c>
      <c r="J225" s="798">
        <f t="shared" si="59"/>
        <v>-0.1203641361752039</v>
      </c>
      <c r="K225" s="783">
        <f>E225</f>
        <v>351388790.00000006</v>
      </c>
    </row>
    <row r="226" spans="1:11" x14ac:dyDescent="0.25">
      <c r="A226" s="492" t="str">
        <f t="shared" si="88"/>
        <v>Street Lighting and Signal Systems</v>
      </c>
      <c r="B226" s="354"/>
      <c r="C226" s="726">
        <v>2525801.0500000003</v>
      </c>
      <c r="D226" s="727">
        <v>3992325</v>
      </c>
      <c r="E226" s="728">
        <v>3992325</v>
      </c>
      <c r="F226" s="728">
        <v>901298.79999999993</v>
      </c>
      <c r="G226" s="728">
        <v>3153786.58</v>
      </c>
      <c r="H226" s="728">
        <f>E226/12*$L$1</f>
        <v>3992325</v>
      </c>
      <c r="I226" s="730">
        <f t="shared" si="58"/>
        <v>-838538.41999999993</v>
      </c>
      <c r="J226" s="798">
        <f t="shared" si="59"/>
        <v>-0.2100376146731541</v>
      </c>
      <c r="K226" s="783">
        <f>E226</f>
        <v>3992325</v>
      </c>
    </row>
    <row r="227" spans="1:11" x14ac:dyDescent="0.25">
      <c r="A227" s="492" t="str">
        <f t="shared" si="88"/>
        <v>Nonelectric Energy</v>
      </c>
      <c r="B227" s="354"/>
      <c r="C227" s="726">
        <v>0</v>
      </c>
      <c r="D227" s="727">
        <v>0</v>
      </c>
      <c r="E227" s="728">
        <v>0</v>
      </c>
      <c r="F227" s="728">
        <v>0</v>
      </c>
      <c r="G227" s="728">
        <v>0</v>
      </c>
      <c r="H227" s="728">
        <f>E227/12*$L$1</f>
        <v>0</v>
      </c>
      <c r="I227" s="730">
        <f t="shared" si="58"/>
        <v>0</v>
      </c>
      <c r="J227" s="798" t="str">
        <f t="shared" si="59"/>
        <v/>
      </c>
      <c r="K227" s="783">
        <f>E227</f>
        <v>0</v>
      </c>
    </row>
    <row r="228" spans="1:11" x14ac:dyDescent="0.25">
      <c r="A228" s="465" t="str">
        <f t="shared" si="88"/>
        <v>Water management</v>
      </c>
      <c r="B228" s="354"/>
      <c r="C228" s="733">
        <f t="shared" ref="C228:K228" si="97">SUM(C229:C231)</f>
        <v>57694132.659999989</v>
      </c>
      <c r="D228" s="734">
        <f t="shared" si="97"/>
        <v>59828203</v>
      </c>
      <c r="E228" s="735">
        <f t="shared" si="97"/>
        <v>64054429</v>
      </c>
      <c r="F228" s="735">
        <f t="shared" si="97"/>
        <v>6843170.8100000015</v>
      </c>
      <c r="G228" s="735">
        <f t="shared" si="97"/>
        <v>52937709.579999998</v>
      </c>
      <c r="H228" s="735">
        <f t="shared" si="97"/>
        <v>64054429</v>
      </c>
      <c r="I228" s="735">
        <f t="shared" si="58"/>
        <v>-11116719.420000002</v>
      </c>
      <c r="J228" s="797">
        <f t="shared" si="59"/>
        <v>-0.17355114382488682</v>
      </c>
      <c r="K228" s="749">
        <f t="shared" si="97"/>
        <v>64054429</v>
      </c>
    </row>
    <row r="229" spans="1:11" x14ac:dyDescent="0.25">
      <c r="A229" s="492" t="str">
        <f t="shared" si="88"/>
        <v>Water Treatment</v>
      </c>
      <c r="B229" s="354"/>
      <c r="C229" s="726">
        <v>14224586.18</v>
      </c>
      <c r="D229" s="727">
        <v>9744285</v>
      </c>
      <c r="E229" s="728">
        <v>13741990</v>
      </c>
      <c r="F229" s="728">
        <v>631078.69999999995</v>
      </c>
      <c r="G229" s="728">
        <v>6462193.2799999993</v>
      </c>
      <c r="H229" s="728">
        <f>E229/12*$L$1</f>
        <v>13741990</v>
      </c>
      <c r="I229" s="730">
        <f t="shared" si="58"/>
        <v>-7279796.7200000007</v>
      </c>
      <c r="J229" s="798">
        <f t="shared" si="59"/>
        <v>-0.52974836395602098</v>
      </c>
      <c r="K229" s="783">
        <f>E229</f>
        <v>13741990</v>
      </c>
    </row>
    <row r="230" spans="1:11" x14ac:dyDescent="0.25">
      <c r="A230" s="492" t="str">
        <f t="shared" si="88"/>
        <v>Water Distribution</v>
      </c>
      <c r="B230" s="354"/>
      <c r="C230" s="726">
        <v>43469546.479999989</v>
      </c>
      <c r="D230" s="727">
        <v>50083918</v>
      </c>
      <c r="E230" s="728">
        <v>50312439</v>
      </c>
      <c r="F230" s="728">
        <v>6212092.1100000013</v>
      </c>
      <c r="G230" s="728">
        <v>46475516.299999997</v>
      </c>
      <c r="H230" s="728">
        <f>E230/12*$L$1</f>
        <v>50312439</v>
      </c>
      <c r="I230" s="730">
        <f t="shared" si="58"/>
        <v>-3836922.700000003</v>
      </c>
      <c r="J230" s="798">
        <f t="shared" si="59"/>
        <v>-7.6261910101396657E-2</v>
      </c>
      <c r="K230" s="783">
        <f>E230</f>
        <v>50312439</v>
      </c>
    </row>
    <row r="231" spans="1:11" x14ac:dyDescent="0.25">
      <c r="A231" s="492" t="str">
        <f t="shared" si="88"/>
        <v>Water Storage</v>
      </c>
      <c r="B231" s="354"/>
      <c r="C231" s="726">
        <v>0</v>
      </c>
      <c r="D231" s="727">
        <v>0</v>
      </c>
      <c r="E231" s="728">
        <v>0</v>
      </c>
      <c r="F231" s="728">
        <v>0</v>
      </c>
      <c r="G231" s="728">
        <v>0</v>
      </c>
      <c r="H231" s="728">
        <f>E231/12*$L$1</f>
        <v>0</v>
      </c>
      <c r="I231" s="730">
        <f t="shared" si="58"/>
        <v>0</v>
      </c>
      <c r="J231" s="798" t="str">
        <f t="shared" si="59"/>
        <v/>
      </c>
      <c r="K231" s="783">
        <f>E231</f>
        <v>0</v>
      </c>
    </row>
    <row r="232" spans="1:11" x14ac:dyDescent="0.25">
      <c r="A232" s="465" t="str">
        <f t="shared" si="88"/>
        <v>Waste water management</v>
      </c>
      <c r="B232" s="354"/>
      <c r="C232" s="733">
        <f t="shared" ref="C232:K232" si="98">SUM(C233:C236)</f>
        <v>61246763.909999989</v>
      </c>
      <c r="D232" s="734">
        <f t="shared" si="98"/>
        <v>61180431</v>
      </c>
      <c r="E232" s="735">
        <f t="shared" si="98"/>
        <v>64328080</v>
      </c>
      <c r="F232" s="735">
        <f t="shared" si="98"/>
        <v>6113645.8099999987</v>
      </c>
      <c r="G232" s="735">
        <f t="shared" si="98"/>
        <v>53585565.450000033</v>
      </c>
      <c r="H232" s="735">
        <f t="shared" si="98"/>
        <v>64328080</v>
      </c>
      <c r="I232" s="735">
        <f t="shared" si="58"/>
        <v>-10742514.549999967</v>
      </c>
      <c r="J232" s="797">
        <f t="shared" si="59"/>
        <v>-0.16699572799312473</v>
      </c>
      <c r="K232" s="749">
        <f t="shared" si="98"/>
        <v>64328080</v>
      </c>
    </row>
    <row r="233" spans="1:11" x14ac:dyDescent="0.25">
      <c r="A233" s="492" t="str">
        <f t="shared" si="88"/>
        <v>Public Toilets</v>
      </c>
      <c r="B233" s="354"/>
      <c r="C233" s="726">
        <v>2386039.4900000007</v>
      </c>
      <c r="D233" s="727">
        <v>2877628</v>
      </c>
      <c r="E233" s="728">
        <v>2473107</v>
      </c>
      <c r="F233" s="728">
        <v>183455.3</v>
      </c>
      <c r="G233" s="728">
        <v>2375043.81</v>
      </c>
      <c r="H233" s="728">
        <f>E233/12*$L$1</f>
        <v>2473107</v>
      </c>
      <c r="I233" s="730">
        <f t="shared" si="58"/>
        <v>-98063.189999999944</v>
      </c>
      <c r="J233" s="798">
        <f t="shared" si="59"/>
        <v>-3.9651818542424548E-2</v>
      </c>
      <c r="K233" s="783">
        <f>E233</f>
        <v>2473107</v>
      </c>
    </row>
    <row r="234" spans="1:11" x14ac:dyDescent="0.25">
      <c r="A234" s="492" t="str">
        <f t="shared" si="88"/>
        <v>Sewerage</v>
      </c>
      <c r="B234" s="354"/>
      <c r="C234" s="726">
        <v>11349728.050000003</v>
      </c>
      <c r="D234" s="727">
        <v>15165717</v>
      </c>
      <c r="E234" s="728">
        <v>12335259</v>
      </c>
      <c r="F234" s="728">
        <v>1037011.3300000002</v>
      </c>
      <c r="G234" s="728">
        <v>9210055.0600000024</v>
      </c>
      <c r="H234" s="728">
        <f>E234/12*$L$1</f>
        <v>12335259</v>
      </c>
      <c r="I234" s="730">
        <f t="shared" si="58"/>
        <v>-3125203.9399999976</v>
      </c>
      <c r="J234" s="798">
        <f t="shared" si="59"/>
        <v>-0.25335535638124806</v>
      </c>
      <c r="K234" s="783">
        <f>E234</f>
        <v>12335259</v>
      </c>
    </row>
    <row r="235" spans="1:11" x14ac:dyDescent="0.25">
      <c r="A235" s="492" t="str">
        <f t="shared" si="88"/>
        <v>Storm Water Management</v>
      </c>
      <c r="B235" s="354"/>
      <c r="C235" s="726">
        <v>2932336.13</v>
      </c>
      <c r="D235" s="727">
        <v>3296518</v>
      </c>
      <c r="E235" s="728">
        <v>3496518</v>
      </c>
      <c r="F235" s="728">
        <v>363616.36</v>
      </c>
      <c r="G235" s="728">
        <v>2895001.53</v>
      </c>
      <c r="H235" s="728">
        <f>E235/12*$L$1</f>
        <v>3496518</v>
      </c>
      <c r="I235" s="730">
        <f t="shared" si="58"/>
        <v>-601516.4700000002</v>
      </c>
      <c r="J235" s="798">
        <f t="shared" si="59"/>
        <v>-0.17203299682712922</v>
      </c>
      <c r="K235" s="783">
        <f>E235</f>
        <v>3496518</v>
      </c>
    </row>
    <row r="236" spans="1:11" x14ac:dyDescent="0.25">
      <c r="A236" s="492" t="str">
        <f t="shared" si="88"/>
        <v>Waste Water Treatment</v>
      </c>
      <c r="B236" s="354"/>
      <c r="C236" s="726">
        <v>44578660.239999987</v>
      </c>
      <c r="D236" s="727">
        <v>39840568</v>
      </c>
      <c r="E236" s="728">
        <v>46023196</v>
      </c>
      <c r="F236" s="728">
        <v>4529562.8199999984</v>
      </c>
      <c r="G236" s="728">
        <v>39105465.050000027</v>
      </c>
      <c r="H236" s="728">
        <f>E236/12*$L$1</f>
        <v>46023196</v>
      </c>
      <c r="I236" s="730">
        <f t="shared" si="58"/>
        <v>-6917730.9499999732</v>
      </c>
      <c r="J236" s="798">
        <f t="shared" si="59"/>
        <v>-0.15030966015484828</v>
      </c>
      <c r="K236" s="783">
        <f>E236</f>
        <v>46023196</v>
      </c>
    </row>
    <row r="237" spans="1:11" x14ac:dyDescent="0.25">
      <c r="A237" s="465" t="str">
        <f t="shared" si="88"/>
        <v>Waste management</v>
      </c>
      <c r="B237" s="354"/>
      <c r="C237" s="733">
        <f t="shared" ref="C237:H237" si="99">SUM(C238:C241)</f>
        <v>49375893.000000015</v>
      </c>
      <c r="D237" s="734">
        <f t="shared" si="99"/>
        <v>46715508</v>
      </c>
      <c r="E237" s="735">
        <f t="shared" si="99"/>
        <v>45209339</v>
      </c>
      <c r="F237" s="735">
        <f t="shared" si="99"/>
        <v>3204174.78</v>
      </c>
      <c r="G237" s="735">
        <f t="shared" si="99"/>
        <v>31369938.069999997</v>
      </c>
      <c r="H237" s="735">
        <f t="shared" si="99"/>
        <v>45209339</v>
      </c>
      <c r="I237" s="735">
        <f t="shared" si="58"/>
        <v>-13839400.930000003</v>
      </c>
      <c r="J237" s="797">
        <f t="shared" si="59"/>
        <v>-0.30611818788149064</v>
      </c>
      <c r="K237" s="749">
        <f>SUM(K238:K241)</f>
        <v>45209339</v>
      </c>
    </row>
    <row r="238" spans="1:11" x14ac:dyDescent="0.25">
      <c r="A238" s="492" t="str">
        <f t="shared" si="88"/>
        <v>Recycling</v>
      </c>
      <c r="B238" s="354"/>
      <c r="C238" s="726">
        <v>0</v>
      </c>
      <c r="D238" s="727">
        <v>0</v>
      </c>
      <c r="E238" s="728">
        <v>0</v>
      </c>
      <c r="F238" s="728">
        <v>0</v>
      </c>
      <c r="G238" s="728">
        <v>0</v>
      </c>
      <c r="H238" s="728">
        <f>E238/12*$L$1</f>
        <v>0</v>
      </c>
      <c r="I238" s="730">
        <f t="shared" si="58"/>
        <v>0</v>
      </c>
      <c r="J238" s="798" t="str">
        <f t="shared" si="59"/>
        <v/>
      </c>
      <c r="K238" s="783">
        <f>E238</f>
        <v>0</v>
      </c>
    </row>
    <row r="239" spans="1:11" x14ac:dyDescent="0.25">
      <c r="A239" s="492" t="str">
        <f t="shared" si="88"/>
        <v>Solid Waste Disposal (Landfill Sites)</v>
      </c>
      <c r="B239" s="354"/>
      <c r="C239" s="726">
        <v>11996192.690000003</v>
      </c>
      <c r="D239" s="727">
        <v>19434514</v>
      </c>
      <c r="E239" s="728">
        <v>16681939</v>
      </c>
      <c r="F239" s="728">
        <v>714836.98</v>
      </c>
      <c r="G239" s="728">
        <v>3835286.3800000004</v>
      </c>
      <c r="H239" s="728">
        <f>E239/12*$L$1</f>
        <v>16681939</v>
      </c>
      <c r="I239" s="730">
        <f t="shared" si="58"/>
        <v>-12846652.619999999</v>
      </c>
      <c r="J239" s="798">
        <f t="shared" si="59"/>
        <v>-0.77009348973161929</v>
      </c>
      <c r="K239" s="783">
        <f>E239</f>
        <v>16681939</v>
      </c>
    </row>
    <row r="240" spans="1:11" x14ac:dyDescent="0.25">
      <c r="A240" s="492" t="str">
        <f t="shared" si="88"/>
        <v>Solid Waste Removal</v>
      </c>
      <c r="B240" s="354"/>
      <c r="C240" s="726">
        <v>37379700.31000001</v>
      </c>
      <c r="D240" s="727">
        <v>27280994</v>
      </c>
      <c r="E240" s="728">
        <v>28527400</v>
      </c>
      <c r="F240" s="728">
        <v>2489337.7999999998</v>
      </c>
      <c r="G240" s="728">
        <v>27534651.689999998</v>
      </c>
      <c r="H240" s="728">
        <f>E240/12*$L$1</f>
        <v>28527400</v>
      </c>
      <c r="I240" s="730">
        <f t="shared" si="58"/>
        <v>-992748.31000000238</v>
      </c>
      <c r="J240" s="798">
        <f t="shared" si="59"/>
        <v>-3.4799817368565043E-2</v>
      </c>
      <c r="K240" s="783">
        <f>E240</f>
        <v>28527400</v>
      </c>
    </row>
    <row r="241" spans="1:11" x14ac:dyDescent="0.25">
      <c r="A241" s="492" t="str">
        <f t="shared" si="88"/>
        <v>Street Cleaning</v>
      </c>
      <c r="B241" s="346"/>
      <c r="C241" s="726">
        <v>0</v>
      </c>
      <c r="D241" s="727">
        <v>0</v>
      </c>
      <c r="E241" s="728">
        <v>0</v>
      </c>
      <c r="F241" s="728">
        <v>0</v>
      </c>
      <c r="G241" s="728">
        <v>0</v>
      </c>
      <c r="H241" s="728">
        <f>E241/12*$L$1</f>
        <v>0</v>
      </c>
      <c r="I241" s="730">
        <f t="shared" si="58"/>
        <v>0</v>
      </c>
      <c r="J241" s="798" t="str">
        <f t="shared" si="59"/>
        <v/>
      </c>
      <c r="K241" s="783">
        <f>E241</f>
        <v>0</v>
      </c>
    </row>
    <row r="242" spans="1:11" x14ac:dyDescent="0.25">
      <c r="A242" s="345" t="str">
        <f t="shared" si="88"/>
        <v>Other</v>
      </c>
      <c r="B242" s="346"/>
      <c r="C242" s="733">
        <f t="shared" ref="C242:K242" si="100">SUM(C243:C248)</f>
        <v>1004662.4999999999</v>
      </c>
      <c r="D242" s="734">
        <f t="shared" si="100"/>
        <v>910314</v>
      </c>
      <c r="E242" s="735">
        <f t="shared" si="100"/>
        <v>880343</v>
      </c>
      <c r="F242" s="735">
        <f t="shared" si="100"/>
        <v>54688.32</v>
      </c>
      <c r="G242" s="735">
        <f t="shared" si="100"/>
        <v>1353636.8400000003</v>
      </c>
      <c r="H242" s="735">
        <f t="shared" si="100"/>
        <v>880343</v>
      </c>
      <c r="I242" s="735">
        <f t="shared" si="58"/>
        <v>473293.84000000032</v>
      </c>
      <c r="J242" s="797">
        <f t="shared" si="59"/>
        <v>0.53762435777872974</v>
      </c>
      <c r="K242" s="749">
        <f t="shared" si="100"/>
        <v>880343</v>
      </c>
    </row>
    <row r="243" spans="1:11" x14ac:dyDescent="0.25">
      <c r="A243" s="465" t="str">
        <f t="shared" si="88"/>
        <v>Abattoirs</v>
      </c>
      <c r="B243" s="346"/>
      <c r="C243" s="726">
        <v>0</v>
      </c>
      <c r="D243" s="727">
        <v>0</v>
      </c>
      <c r="E243" s="728">
        <v>0</v>
      </c>
      <c r="F243" s="728">
        <v>0</v>
      </c>
      <c r="G243" s="728">
        <v>0</v>
      </c>
      <c r="H243" s="728">
        <f t="shared" ref="H243:H248" si="101">E243/12*$L$1</f>
        <v>0</v>
      </c>
      <c r="I243" s="730">
        <f t="shared" si="58"/>
        <v>0</v>
      </c>
      <c r="J243" s="798" t="str">
        <f t="shared" si="59"/>
        <v/>
      </c>
      <c r="K243" s="783">
        <f t="shared" ref="K243:K248" si="102">E243</f>
        <v>0</v>
      </c>
    </row>
    <row r="244" spans="1:11" x14ac:dyDescent="0.25">
      <c r="A244" s="465" t="str">
        <f t="shared" si="88"/>
        <v>Air Transport</v>
      </c>
      <c r="B244" s="346"/>
      <c r="C244" s="726">
        <v>124840</v>
      </c>
      <c r="D244" s="727">
        <v>140794</v>
      </c>
      <c r="E244" s="728">
        <v>140794</v>
      </c>
      <c r="F244" s="728">
        <v>0</v>
      </c>
      <c r="G244" s="728">
        <v>129810</v>
      </c>
      <c r="H244" s="728">
        <f t="shared" si="101"/>
        <v>140794</v>
      </c>
      <c r="I244" s="730">
        <f t="shared" si="58"/>
        <v>-10984</v>
      </c>
      <c r="J244" s="798">
        <f t="shared" si="59"/>
        <v>-7.8014688125914458E-2</v>
      </c>
      <c r="K244" s="783">
        <f t="shared" si="102"/>
        <v>140794</v>
      </c>
    </row>
    <row r="245" spans="1:11" x14ac:dyDescent="0.25">
      <c r="A245" s="465" t="str">
        <f t="shared" si="88"/>
        <v xml:space="preserve">Forestry </v>
      </c>
      <c r="B245" s="346"/>
      <c r="C245" s="726">
        <v>0</v>
      </c>
      <c r="D245" s="727">
        <v>0</v>
      </c>
      <c r="E245" s="728">
        <v>0</v>
      </c>
      <c r="F245" s="728">
        <v>0</v>
      </c>
      <c r="G245" s="728">
        <v>0</v>
      </c>
      <c r="H245" s="728">
        <f t="shared" si="101"/>
        <v>0</v>
      </c>
      <c r="I245" s="730">
        <f t="shared" si="58"/>
        <v>0</v>
      </c>
      <c r="J245" s="798" t="str">
        <f t="shared" si="59"/>
        <v/>
      </c>
      <c r="K245" s="783">
        <f t="shared" si="102"/>
        <v>0</v>
      </c>
    </row>
    <row r="246" spans="1:11" x14ac:dyDescent="0.25">
      <c r="A246" s="465" t="str">
        <f t="shared" si="88"/>
        <v>Licensing and Regulation</v>
      </c>
      <c r="B246" s="346"/>
      <c r="C246" s="726">
        <v>0</v>
      </c>
      <c r="D246" s="727">
        <v>0</v>
      </c>
      <c r="E246" s="728">
        <v>0</v>
      </c>
      <c r="F246" s="728">
        <v>0</v>
      </c>
      <c r="G246" s="728">
        <v>0</v>
      </c>
      <c r="H246" s="728">
        <f t="shared" si="101"/>
        <v>0</v>
      </c>
      <c r="I246" s="730">
        <f t="shared" si="58"/>
        <v>0</v>
      </c>
      <c r="J246" s="798" t="str">
        <f t="shared" si="59"/>
        <v/>
      </c>
      <c r="K246" s="783">
        <f t="shared" si="102"/>
        <v>0</v>
      </c>
    </row>
    <row r="247" spans="1:11" x14ac:dyDescent="0.25">
      <c r="A247" s="465" t="str">
        <f t="shared" si="88"/>
        <v>Markets</v>
      </c>
      <c r="B247" s="346"/>
      <c r="C247" s="726">
        <v>0</v>
      </c>
      <c r="D247" s="727">
        <v>0</v>
      </c>
      <c r="E247" s="728">
        <v>0</v>
      </c>
      <c r="F247" s="728">
        <v>0</v>
      </c>
      <c r="G247" s="728">
        <v>0</v>
      </c>
      <c r="H247" s="728">
        <f t="shared" si="101"/>
        <v>0</v>
      </c>
      <c r="I247" s="730">
        <f>G247-H247</f>
        <v>0</v>
      </c>
      <c r="J247" s="798" t="str">
        <f>IF(I247=0,"",I247/H247)</f>
        <v/>
      </c>
      <c r="K247" s="783">
        <f t="shared" si="102"/>
        <v>0</v>
      </c>
    </row>
    <row r="248" spans="1:11" x14ac:dyDescent="0.25">
      <c r="A248" s="465" t="str">
        <f t="shared" si="88"/>
        <v>Tourism</v>
      </c>
      <c r="B248" s="346"/>
      <c r="C248" s="726">
        <v>879822.49999999988</v>
      </c>
      <c r="D248" s="727">
        <v>769520</v>
      </c>
      <c r="E248" s="728">
        <v>739549</v>
      </c>
      <c r="F248" s="728">
        <v>54688.32</v>
      </c>
      <c r="G248" s="728">
        <v>1223826.8400000003</v>
      </c>
      <c r="H248" s="728">
        <f t="shared" si="101"/>
        <v>739549</v>
      </c>
      <c r="I248" s="730">
        <f>G248-H248</f>
        <v>484277.84000000032</v>
      </c>
      <c r="J248" s="798">
        <f>IF(I248=0,"",I248/H248)</f>
        <v>0.65482860500115658</v>
      </c>
      <c r="K248" s="783">
        <f t="shared" si="102"/>
        <v>739549</v>
      </c>
    </row>
    <row r="249" spans="1:11" x14ac:dyDescent="0.25">
      <c r="A249" s="77" t="str">
        <f>"Total "&amp;A128</f>
        <v>Total Expenditure - Functional</v>
      </c>
      <c r="B249" s="346">
        <v>3</v>
      </c>
      <c r="C249" s="806">
        <f t="shared" ref="C249:I249" si="103">C129+C150+C197+C223+C242</f>
        <v>957098343.44000006</v>
      </c>
      <c r="D249" s="810">
        <f t="shared" si="103"/>
        <v>1011347518</v>
      </c>
      <c r="E249" s="781">
        <f t="shared" si="103"/>
        <v>1008968148</v>
      </c>
      <c r="F249" s="781">
        <f t="shared" si="103"/>
        <v>79874395.870000005</v>
      </c>
      <c r="G249" s="781">
        <f t="shared" si="103"/>
        <v>896520297.20999992</v>
      </c>
      <c r="H249" s="781">
        <f t="shared" si="103"/>
        <v>1008968148</v>
      </c>
      <c r="I249" s="781">
        <f t="shared" si="103"/>
        <v>-112447850.79000014</v>
      </c>
      <c r="J249" s="799">
        <f>IF(I249=0,"",I249/H249)</f>
        <v>-0.11144836535513719</v>
      </c>
      <c r="K249" s="782">
        <f>K129+K150+K197+K223+K242</f>
        <v>1008968148</v>
      </c>
    </row>
    <row r="250" spans="1:11" x14ac:dyDescent="0.25">
      <c r="A250" s="49" t="str">
        <f>result</f>
        <v>Surplus/ (Deficit) for the year</v>
      </c>
      <c r="B250" s="466"/>
      <c r="C250" s="808">
        <f t="shared" ref="C250:H250" si="104">C126-C249</f>
        <v>102424353.26999998</v>
      </c>
      <c r="D250" s="812">
        <f t="shared" si="104"/>
        <v>123871529</v>
      </c>
      <c r="E250" s="785">
        <f t="shared" si="104"/>
        <v>168468297</v>
      </c>
      <c r="F250" s="785">
        <f t="shared" si="104"/>
        <v>1301911.7699999958</v>
      </c>
      <c r="G250" s="785">
        <f t="shared" si="104"/>
        <v>66014432.279999971</v>
      </c>
      <c r="H250" s="785">
        <f t="shared" si="104"/>
        <v>168468297</v>
      </c>
      <c r="I250" s="785">
        <f>G250-H250</f>
        <v>-102453864.72000003</v>
      </c>
      <c r="J250" s="800">
        <f>IF(I250=0,"",I250/H250)</f>
        <v>-0.60814922774461255</v>
      </c>
      <c r="K250" s="786">
        <f>K126-K249</f>
        <v>168468297</v>
      </c>
    </row>
    <row r="251" spans="1:11" x14ac:dyDescent="0.25">
      <c r="A251" s="687" t="str">
        <f>head27a</f>
        <v>References</v>
      </c>
      <c r="B251" s="58"/>
      <c r="C251" s="787"/>
      <c r="D251" s="787"/>
      <c r="E251" s="787"/>
      <c r="F251" s="787"/>
      <c r="G251" s="787"/>
      <c r="H251" s="787"/>
      <c r="I251" s="787"/>
      <c r="J251" s="801"/>
      <c r="K251" s="788"/>
    </row>
    <row r="252" spans="1:11" x14ac:dyDescent="0.25">
      <c r="A252" s="78" t="s">
        <v>181</v>
      </c>
      <c r="B252" s="58"/>
      <c r="C252" s="789"/>
      <c r="D252" s="789"/>
      <c r="E252" s="790"/>
      <c r="F252" s="790"/>
      <c r="G252" s="790"/>
      <c r="H252" s="790"/>
      <c r="I252" s="790"/>
      <c r="J252" s="802"/>
      <c r="K252" s="791"/>
    </row>
    <row r="253" spans="1:11" x14ac:dyDescent="0.25">
      <c r="A253" s="684" t="s">
        <v>1239</v>
      </c>
      <c r="B253" s="58"/>
      <c r="C253" s="789"/>
      <c r="D253" s="789"/>
      <c r="E253" s="790"/>
      <c r="F253" s="790"/>
      <c r="G253" s="790"/>
      <c r="H253" s="790"/>
      <c r="I253" s="790"/>
      <c r="J253" s="802"/>
      <c r="K253" s="791"/>
    </row>
    <row r="254" spans="1:11" x14ac:dyDescent="0.25">
      <c r="A254" s="78" t="s">
        <v>1240</v>
      </c>
      <c r="B254" s="58"/>
      <c r="C254" s="789"/>
      <c r="D254" s="789"/>
      <c r="E254" s="790"/>
      <c r="F254" s="790"/>
      <c r="G254" s="790"/>
      <c r="H254" s="790"/>
      <c r="I254" s="790"/>
      <c r="J254" s="802"/>
      <c r="K254" s="791"/>
    </row>
    <row r="255" spans="1:11" ht="25.9" customHeight="1" x14ac:dyDescent="0.25">
      <c r="A255" s="985" t="s">
        <v>1241</v>
      </c>
      <c r="B255" s="956"/>
      <c r="C255" s="956"/>
      <c r="D255" s="956"/>
      <c r="E255" s="956"/>
      <c r="F255" s="956"/>
      <c r="G255" s="956"/>
      <c r="H255" s="956"/>
      <c r="I255" s="956"/>
      <c r="J255" s="956"/>
      <c r="K255" s="986"/>
    </row>
    <row r="256" spans="1:11" x14ac:dyDescent="0.25">
      <c r="A256" s="39"/>
      <c r="C256" s="792"/>
      <c r="D256" s="792"/>
      <c r="E256" s="793"/>
      <c r="F256" s="793"/>
      <c r="G256" s="793"/>
      <c r="H256" s="793"/>
      <c r="I256" s="793"/>
      <c r="J256" s="803"/>
      <c r="K256" s="794"/>
    </row>
    <row r="257" spans="1:11" x14ac:dyDescent="0.25">
      <c r="A257" s="39"/>
      <c r="C257" s="792"/>
      <c r="D257" s="792"/>
      <c r="E257" s="793"/>
      <c r="F257" s="793"/>
      <c r="G257" s="793"/>
      <c r="H257" s="793"/>
      <c r="I257" s="793"/>
      <c r="J257" s="803"/>
      <c r="K257" s="794"/>
    </row>
    <row r="258" spans="1:11" x14ac:dyDescent="0.25">
      <c r="A258" s="73" t="s">
        <v>182</v>
      </c>
      <c r="B258" s="58"/>
      <c r="C258" s="763">
        <f>C126-'C4-FinPerf RE'!C53</f>
        <v>0</v>
      </c>
      <c r="D258" s="763">
        <f>D126-'C4-FinPerf RE'!D53</f>
        <v>0</v>
      </c>
      <c r="E258" s="763">
        <f>E126-'C4-FinPerf RE'!E53</f>
        <v>0</v>
      </c>
      <c r="F258" s="763">
        <f>F126-'C4-FinPerf RE'!F53</f>
        <v>0</v>
      </c>
      <c r="G258" s="763">
        <f>G126-'C4-FinPerf RE'!G53</f>
        <v>0</v>
      </c>
      <c r="H258" s="763">
        <f>H126-'C4-FinPerf RE'!H53</f>
        <v>0</v>
      </c>
      <c r="I258" s="763">
        <f>I126-'C4-FinPerf RE'!I53</f>
        <v>0</v>
      </c>
      <c r="J258" s="467"/>
      <c r="K258" s="764">
        <f>K126-'C4-FinPerf RE'!K53</f>
        <v>0</v>
      </c>
    </row>
    <row r="259" spans="1:11" x14ac:dyDescent="0.25">
      <c r="A259" s="678" t="s">
        <v>183</v>
      </c>
      <c r="B259" s="679"/>
      <c r="C259" s="765">
        <f>C249-'C4-FinPerf RE'!C36</f>
        <v>0</v>
      </c>
      <c r="D259" s="765">
        <f>D249-'C4-FinPerf RE'!D36</f>
        <v>0</v>
      </c>
      <c r="E259" s="765">
        <f>E249-'C4-FinPerf RE'!E36</f>
        <v>0</v>
      </c>
      <c r="F259" s="765">
        <f>F249-'C4-FinPerf RE'!F36</f>
        <v>0</v>
      </c>
      <c r="G259" s="765">
        <f>G249-'C4-FinPerf RE'!G36</f>
        <v>0</v>
      </c>
      <c r="H259" s="765">
        <f>H249-'C4-FinPerf RE'!H36</f>
        <v>0</v>
      </c>
      <c r="I259" s="765">
        <f>I249-'C4-FinPerf RE'!I36</f>
        <v>-1.7881393432617188E-7</v>
      </c>
      <c r="J259" s="693"/>
      <c r="K259" s="766">
        <f>K249-'C4-FinPerf RE'!K36</f>
        <v>0</v>
      </c>
    </row>
  </sheetData>
  <mergeCells count="5">
    <mergeCell ref="A255:K255"/>
    <mergeCell ref="A1:K1"/>
    <mergeCell ref="A2:A3"/>
    <mergeCell ref="B2:B3"/>
    <mergeCell ref="D2:K2"/>
  </mergeCells>
  <phoneticPr fontId="3" type="noConversion"/>
  <printOptions horizontalCentered="1"/>
  <pageMargins left="0.19685039370078741" right="0.19685039370078741" top="0.59055118110236227" bottom="0.59055118110236227" header="0.51181102362204722" footer="0.51181102362204722"/>
  <pageSetup paperSize="9" scale="81" fitToHeight="0" orientation="portrait" r:id="rId1"/>
  <headerFooter alignWithMargins="0"/>
  <ignoredErrors>
    <ignoredError sqref="H249:K250" formula="1"/>
    <ignoredError sqref="H9:K9 H26:K49 H8:I8 K8" unlockedFormula="1"/>
    <ignoredError sqref="H10:K17 H50:K248 H19:K25 H18:I18 K18" formula="1" unlockedFormula="1"/>
    <ignoredError sqref="J18" evalError="1"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1eaa06724ccfff4d26122b6c37af6476">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650E05F-CB83-4EC3-BFC9-9CF69B1410EB}">
  <ds:schemaRefs>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http://schemas.microsoft.com/sharepoint/v3"/>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582B849D-641A-4DCA-8055-7AD4E3AAB7FC}">
  <ds:schemaRefs>
    <ds:schemaRef ds:uri="http://schemas.microsoft.com/sharepoint/v3/contenttype/forms"/>
  </ds:schemaRefs>
</ds:datastoreItem>
</file>

<file path=customXml/itemProps3.xml><?xml version="1.0" encoding="utf-8"?>
<ds:datastoreItem xmlns:ds="http://schemas.openxmlformats.org/officeDocument/2006/customXml" ds:itemID="{BACB0AF2-0743-4BBB-9C0C-AC2E813F9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174</vt:i4>
      </vt:variant>
    </vt:vector>
  </HeadingPairs>
  <TitlesOfParts>
    <vt:vector size="207" baseType="lpstr">
      <vt:lpstr>START</vt:lpstr>
      <vt:lpstr>Instructions</vt:lpstr>
      <vt:lpstr>Org structure</vt:lpstr>
      <vt:lpstr>Contacts</vt:lpstr>
      <vt:lpstr>C1-Sum</vt:lpstr>
      <vt:lpstr>C2-FinPerf SC</vt:lpstr>
      <vt:lpstr>C2C</vt:lpstr>
      <vt:lpstr>C3-FinPerf V</vt:lpstr>
      <vt:lpstr>C3C</vt:lpstr>
      <vt:lpstr>C4-FinPerf RE</vt:lpstr>
      <vt:lpstr>C5-Capex</vt:lpstr>
      <vt:lpstr>C5C</vt:lpstr>
      <vt:lpstr>C6-FinPos</vt:lpstr>
      <vt:lpstr>C7-CFlow</vt:lpstr>
      <vt:lpstr>SC1</vt:lpstr>
      <vt:lpstr>SC2</vt:lpstr>
      <vt:lpstr>SC3</vt:lpstr>
      <vt:lpstr>SC4</vt:lpstr>
      <vt:lpstr>SC5</vt:lpstr>
      <vt:lpstr>SC6</vt:lpstr>
      <vt:lpstr>SC7(1)</vt:lpstr>
      <vt:lpstr>SC7(2)</vt:lpstr>
      <vt:lpstr>SC8</vt:lpstr>
      <vt:lpstr>SC9</vt:lpstr>
      <vt:lpstr>SC10</vt:lpstr>
      <vt:lpstr>SC11</vt:lpstr>
      <vt:lpstr>SC12</vt:lpstr>
      <vt:lpstr>SC13a</vt:lpstr>
      <vt:lpstr>SC13b</vt:lpstr>
      <vt:lpstr>SC13c</vt:lpstr>
      <vt:lpstr>SC13d</vt:lpstr>
      <vt:lpstr>SC13e</vt:lpstr>
      <vt:lpstr>SC71charts</vt:lpstr>
      <vt:lpstr>Approve2</vt:lpstr>
      <vt:lpstr>Approve3</vt:lpstr>
      <vt:lpstr>basedesc</vt:lpstr>
      <vt:lpstr>Capytd</vt:lpstr>
      <vt:lpstr>Cash1</vt:lpstr>
      <vt:lpstr>Cash2</vt:lpstr>
      <vt:lpstr>Consolques</vt:lpstr>
      <vt:lpstr>date</vt:lpstr>
      <vt:lpstr>desc</vt:lpstr>
      <vt:lpstr>Instructions!FinYear</vt:lpstr>
      <vt:lpstr>Head1</vt:lpstr>
      <vt:lpstr>Head10</vt:lpstr>
      <vt:lpstr>Head11</vt:lpstr>
      <vt:lpstr>Head12</vt:lpstr>
      <vt:lpstr>Head13</vt:lpstr>
      <vt:lpstr>Head14</vt:lpstr>
      <vt:lpstr>Head15</vt:lpstr>
      <vt:lpstr>Head16</vt:lpstr>
      <vt:lpstr>Head17</vt:lpstr>
      <vt:lpstr>Head18</vt:lpstr>
      <vt:lpstr>Head19</vt:lpstr>
      <vt:lpstr>Head2</vt:lpstr>
      <vt:lpstr>Head20</vt:lpstr>
      <vt:lpstr>Head21</vt:lpstr>
      <vt:lpstr>Head22</vt:lpstr>
      <vt:lpstr>Head23</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Month</vt:lpstr>
      <vt:lpstr>Instructions!MTREF</vt:lpstr>
      <vt:lpstr>MTREF</vt:lpstr>
      <vt:lpstr>muni</vt:lpstr>
      <vt:lpstr>MuniEntities</vt:lpstr>
      <vt:lpstr>MuniType</vt:lpstr>
      <vt:lpstr>NatCapexGrantNames</vt:lpstr>
      <vt:lpstr>NatOpexGrantNames</vt:lpstr>
      <vt:lpstr>ninety</vt:lpstr>
      <vt:lpstr>Orgstructurevotes</vt:lpstr>
      <vt:lpstr>'C1-Sum'!Print_Area</vt:lpstr>
      <vt:lpstr>'C2C'!Print_Area</vt:lpstr>
      <vt:lpstr>'C2-FinPerf SC'!Print_Area</vt:lpstr>
      <vt:lpstr>'C3C'!Print_Area</vt:lpstr>
      <vt:lpstr>'C3-FinPerf V'!Print_Area</vt:lpstr>
      <vt:lpstr>'C4-FinPerf RE'!Print_Area</vt:lpstr>
      <vt:lpstr>'C5C'!Print_Area</vt:lpstr>
      <vt:lpstr>'C5-Capex'!Print_Area</vt:lpstr>
      <vt:lpstr>'C6-FinPos'!Print_Area</vt:lpstr>
      <vt:lpstr>'C7-CFlow'!Print_Area</vt:lpstr>
      <vt:lpstr>Contacts!Print_Area</vt:lpstr>
      <vt:lpstr>Instructions!Print_Area</vt:lpstr>
      <vt:lpstr>'Org structure'!Print_Area</vt:lpstr>
      <vt:lpstr>'SC1'!Print_Area</vt:lpstr>
      <vt:lpstr>'SC10'!Print_Area</vt:lpstr>
      <vt:lpstr>'SC11'!Print_Area</vt:lpstr>
      <vt:lpstr>'SC12'!Print_Area</vt:lpstr>
      <vt:lpstr>SC13a!Print_Area</vt:lpstr>
      <vt:lpstr>SC13b!Print_Area</vt:lpstr>
      <vt:lpstr>SC13c!Print_Area</vt:lpstr>
      <vt:lpstr>SC13d!Print_Area</vt:lpstr>
      <vt:lpstr>SC13e!Print_Area</vt:lpstr>
      <vt:lpstr>'SC2'!Print_Area</vt:lpstr>
      <vt:lpstr>'SC3'!Print_Area</vt:lpstr>
      <vt:lpstr>'SC4'!Print_Area</vt:lpstr>
      <vt:lpstr>'SC5'!Print_Area</vt:lpstr>
      <vt:lpstr>'SC6'!Print_Area</vt:lpstr>
      <vt:lpstr>'SC7(1)'!Print_Area</vt:lpstr>
      <vt:lpstr>'SC7(2)'!Print_Area</vt:lpstr>
      <vt:lpstr>'SC8'!Print_Area</vt:lpstr>
      <vt:lpstr>'SC9'!Print_Area</vt:lpstr>
      <vt:lpstr>START!Print_Area</vt:lpstr>
      <vt:lpstr>'C2C'!Print_Titles</vt:lpstr>
      <vt:lpstr>'C3C'!Print_Titles</vt:lpstr>
      <vt:lpstr>'C5C'!Print_Titles</vt:lpstr>
      <vt:lpstr>SC13a!Print_Titles</vt:lpstr>
      <vt:lpstr>SC13b!Print_Titles</vt:lpstr>
      <vt:lpstr>SC13c!Print_Titles</vt:lpstr>
      <vt:lpstr>SC13d!Print_Titles</vt:lpstr>
      <vt:lpstr>SC13e!Print_Titles</vt:lpstr>
      <vt:lpstr>'SC5'!Print_Titles</vt:lpstr>
      <vt:lpstr>ProvCapexGrantsNames</vt:lpstr>
      <vt:lpstr>ProvOpexGrantNames</vt:lpstr>
      <vt:lpstr>RandM</vt:lpstr>
      <vt:lpstr>result</vt:lpstr>
      <vt:lpstr>S71A</vt:lpstr>
      <vt:lpstr>S71B</vt:lpstr>
      <vt:lpstr>s71B8</vt:lpstr>
      <vt:lpstr>s71B9</vt:lpstr>
      <vt:lpstr>S71C</vt:lpstr>
      <vt:lpstr>S71D</vt:lpstr>
      <vt:lpstr>S71E</vt:lpstr>
      <vt:lpstr>S71F</vt:lpstr>
      <vt:lpstr>S71G</vt:lpstr>
      <vt:lpstr>S71H</vt:lpstr>
      <vt:lpstr>S71I</vt:lpstr>
      <vt:lpstr>S71J</vt:lpstr>
      <vt:lpstr>S71K</vt:lpstr>
      <vt:lpstr>S71L</vt:lpstr>
      <vt:lpstr>S71M</vt:lpstr>
      <vt:lpstr>S71N</vt:lpstr>
      <vt:lpstr>S71O</vt:lpstr>
      <vt:lpstr>S71P</vt:lpstr>
      <vt:lpstr>S71Q</vt:lpstr>
      <vt:lpstr>S71R</vt:lpstr>
      <vt:lpstr>S71Sa</vt:lpstr>
      <vt:lpstr>S71Sb</vt:lpstr>
      <vt:lpstr>S71Sc</vt:lpstr>
      <vt:lpstr>S71Sd</vt:lpstr>
      <vt:lpstr>S71Se</vt:lpstr>
      <vt:lpstr>s71sum</vt:lpstr>
      <vt:lpstr>S71T</vt:lpstr>
      <vt:lpstr>SFPerf1</vt:lpstr>
      <vt:lpstr>SFPerf2</vt:lpstr>
      <vt:lpstr>SFpos1</vt:lpstr>
      <vt:lpstr>SFpos2</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YesNo</vt:lpstr>
    </vt:vector>
  </TitlesOfParts>
  <Company>ctc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 budget regulation testing</dc:title>
  <dc:subject>eThekwini version</dc:subject>
  <dc:creator>Nigel Graves</dc:creator>
  <cp:lastModifiedBy>Josephine Petro</cp:lastModifiedBy>
  <cp:lastPrinted>2019-07-09T18:28:51Z</cp:lastPrinted>
  <dcterms:created xsi:type="dcterms:W3CDTF">2004-04-07T16:19:08Z</dcterms:created>
  <dcterms:modified xsi:type="dcterms:W3CDTF">2019-07-10T13:39:25Z</dcterms:modified>
</cp:coreProperties>
</file>